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13290" tabRatio="608" activeTab="9"/>
  </bookViews>
  <sheets>
    <sheet name="7.1" sheetId="1" r:id="rId1"/>
    <sheet name="7.2 " sheetId="2" r:id="rId2"/>
    <sheet name="11.1" sheetId="3" r:id="rId3"/>
    <sheet name="8" sheetId="4" r:id="rId4"/>
    <sheet name="9" sheetId="5" r:id="rId5"/>
    <sheet name="11.2" sheetId="6" r:id="rId6"/>
    <sheet name="12" sheetId="7" r:id="rId7"/>
    <sheet name="13" sheetId="8" r:id="rId8"/>
    <sheet name="6.1 год" sheetId="9" r:id="rId9"/>
    <sheet name="6.2год." sheetId="10" r:id="rId10"/>
    <sheet name="6.3.год" sheetId="11" r:id="rId11"/>
    <sheet name="12год" sheetId="12" r:id="rId12"/>
    <sheet name="13год" sheetId="13" r:id="rId13"/>
  </sheets>
  <externalReferences>
    <externalReference r:id="rId16"/>
  </externalReferences>
  <definedNames>
    <definedName name="Excel_BuiltIn_Print_Area" localSheetId="5">'11.2'!$A$1:$D$44</definedName>
    <definedName name="Excel_BuiltIn_Print_Area" localSheetId="6">#REF!</definedName>
    <definedName name="Excel_BuiltIn_Print_Area" localSheetId="11">#REF!</definedName>
    <definedName name="_xlnm.Print_Titles" localSheetId="8">'6.1 год'!$13:$15</definedName>
    <definedName name="_xlnm.Print_Titles" localSheetId="0">'7.1'!$13:$15</definedName>
    <definedName name="_xlnm.Print_Titles" localSheetId="1">'7.2 '!$15:$17</definedName>
    <definedName name="_xlnm.Print_Area" localSheetId="2">'11.1'!$A$1:$J$36</definedName>
    <definedName name="_xlnm.Print_Area" localSheetId="5">'11.2'!$A$1:$F$44</definedName>
    <definedName name="_xlnm.Print_Area" localSheetId="6">'12'!$A$1:$DA$56</definedName>
    <definedName name="_xlnm.Print_Area" localSheetId="11">'12год'!$A$1:$DA$56</definedName>
    <definedName name="_xlnm.Print_Area" localSheetId="7">'13'!$A$1:$DE$23</definedName>
    <definedName name="_xlnm.Print_Area" localSheetId="12">'13год'!$A$1:$DD$21</definedName>
    <definedName name="_xlnm.Print_Area" localSheetId="8">'6.1 год'!$A$1:$M$111</definedName>
    <definedName name="_xlnm.Print_Area" localSheetId="9">'6.2год.'!$A$1:$DE$46</definedName>
    <definedName name="_xlnm.Print_Area" localSheetId="10">'6.3.год'!$A$1:$EY$29</definedName>
    <definedName name="_xlnm.Print_Area" localSheetId="0">'7.1'!$B$1:$W$111</definedName>
    <definedName name="_xlnm.Print_Area" localSheetId="1">'7.2 '!$A$1:$AJ$86</definedName>
    <definedName name="_xlnm.Print_Area" localSheetId="3">'8'!$A$1:$EY$54</definedName>
    <definedName name="_xlnm.Print_Area" localSheetId="4">'9'!$A$1:$V$26</definedName>
  </definedNames>
  <calcPr fullCalcOnLoad="1"/>
</workbook>
</file>

<file path=xl/comments12.xml><?xml version="1.0" encoding="utf-8"?>
<comments xmlns="http://schemas.openxmlformats.org/spreadsheetml/2006/main">
  <authors>
    <author/>
  </authors>
  <commentList>
    <comment ref="BB22" authorId="0">
      <text>
        <r>
          <rPr>
            <b/>
            <sz val="8"/>
            <color indexed="8"/>
            <rFont val="Tahoma"/>
            <family val="2"/>
          </rPr>
          <t xml:space="preserve">arzubova_m:
</t>
        </r>
        <r>
          <rPr>
            <sz val="8"/>
            <color indexed="8"/>
            <rFont val="Tahoma"/>
            <family val="2"/>
          </rPr>
          <t>EBITDA =прибыль до н/о 3618т.р.) +Ам ОС(12369,72 т.р.)+проценты к уплате(988 т.р.)-проценты к получению 0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B22" authorId="0">
      <text>
        <r>
          <rPr>
            <b/>
            <sz val="8"/>
            <color indexed="8"/>
            <rFont val="Tahoma"/>
            <family val="2"/>
          </rPr>
          <t xml:space="preserve">arzubova_m:
</t>
        </r>
        <r>
          <rPr>
            <sz val="8"/>
            <color indexed="8"/>
            <rFont val="Tahoma"/>
            <family val="2"/>
          </rPr>
          <t>EBITDA =прибыль до н/о 3211т.р.) +Ам ОС(3158,94 т.р.)+проценты к уплате(158 т.р.)-проценты к получению 0</t>
        </r>
      </text>
    </comment>
  </commentList>
</comments>
</file>

<file path=xl/sharedStrings.xml><?xml version="1.0" encoding="utf-8"?>
<sst xmlns="http://schemas.openxmlformats.org/spreadsheetml/2006/main" count="1316" uniqueCount="496">
  <si>
    <t>Приложение № 7.1</t>
  </si>
  <si>
    <t>к Приказу Минэнерго России</t>
  </si>
  <si>
    <t>от 24.03.2010 № 114</t>
  </si>
  <si>
    <t xml:space="preserve">                             Утверждаю
          Генеральный директор 
ОАО "УК Русэнергокапитал"
                       И.И. Самарина </t>
  </si>
  <si>
    <t>(подпись)</t>
  </si>
  <si>
    <t>" 13 " февраля"  2017 года</t>
  </si>
  <si>
    <t>года</t>
  </si>
  <si>
    <t>МП</t>
  </si>
  <si>
    <t>М.П.</t>
  </si>
  <si>
    <t xml:space="preserve">Отчет об исполнении инвестиционной программы ООО "Энергосервис" за 4 квартал 2016 г, млн. рублей с НДС </t>
  </si>
  <si>
    <t>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</si>
  <si>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</si>
  <si>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</si>
  <si>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</si>
  <si>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</si>
  <si>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</si>
  <si>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</si>
  <si>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</si>
  <si>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</si>
  <si>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</si>
  <si>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</si>
  <si>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</si>
  <si>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</si>
  <si>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</si>
  <si>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</si>
  <si>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</si>
  <si>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</si>
  <si>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</si>
  <si>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</si>
  <si>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</si>
  <si>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</si>
  <si>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</si>
  <si>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</si>
  <si>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</si>
  <si>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</si>
  <si>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</si>
  <si>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</si>
  <si>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</si>
  <si>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</si>
  <si>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Реконструкция ТП-677( замена выключателей нагрузки 6кВ — 6шт и ячеек - 6шт)</t>
  </si>
  <si>
    <t>1.1.2</t>
  </si>
  <si>
    <t>Реконструкция ТП-678( замена выключателей нагрузки 6кВ - 6шт и ячеек — 6шт)</t>
  </si>
  <si>
    <t>1.1.3</t>
  </si>
  <si>
    <t>Реконструкция ТП-2 «Парижская комммуна» ( РУ-6 кВ, замена маслянных выключателей ВПГ-10 6шт)</t>
  </si>
  <si>
    <t>1.1.4</t>
  </si>
  <si>
    <t>Реконструкция ТП-2 «Парижская комммуна» ( РУ-0,4 кВ, установка приборов учета с системой АСКУЭ,эл.счетчик Меркурий ART-03 PQRSIDN - 18 шт.,шлюз — 2шт, ТТ 200/5 — 54 шт. )</t>
  </si>
  <si>
    <t>1.1.5</t>
  </si>
  <si>
    <t>Реконструкция ТП-2 «Парижская комммуна» (строительная часть: ремонт кровли площадь - 390м2, замена 2-х створчатых дверей — 4шт, строительство отмостки площадь - 41м2, закрытие кабельных каналов метал. Листами площадь — 25м2, ремонт помещений РУ-0,4кВ)</t>
  </si>
  <si>
    <t>1.1.6</t>
  </si>
  <si>
    <t>Реконструкция ТП-2 «Парижская комммуна» (замена трансформаторов:ТМГ 1000/6 цена:550тыс.руб — 1шт.,ТМГ 630/6 цена 399тыс.руб — 1шт.)</t>
  </si>
  <si>
    <t>1.1.7</t>
  </si>
  <si>
    <t>Реконструкция сетей электроснабжения ВЛ-0,4кВ г. Шарья ул. Парашютная</t>
  </si>
  <si>
    <t>1.1.8</t>
  </si>
  <si>
    <t xml:space="preserve"> г.Шарья Замена КЛ-6кВ от ЗТП-2 до ЗТП-1, 500м</t>
  </si>
  <si>
    <t>1.1.9</t>
  </si>
  <si>
    <t>Замена КЛ от ТП-194 до ВРУ ж/д №6 Молочной горе, 220м</t>
  </si>
  <si>
    <t>1.1.10</t>
  </si>
  <si>
    <t>Замена КЛ от ВРУ ж/д №7 по ул.Гагарина до ВРУ ж/д №128 по ул.Советской, 85м</t>
  </si>
  <si>
    <t>1.1.11</t>
  </si>
  <si>
    <t>Замена КЛ от ТП-104 до ВРУ ж/д № 26 по ул. Проселочной,120м</t>
  </si>
  <si>
    <t>1.1.12</t>
  </si>
  <si>
    <t>Замена КЛ от ТП-194 до ВРУ ж/д №9 по Щемиловке, 55м</t>
  </si>
  <si>
    <t>1.1.13</t>
  </si>
  <si>
    <t>Замена КЛ от ТП-331 до ВРУ ж/д №48 по ул. Центральная, 150м</t>
  </si>
  <si>
    <t>1.1.14</t>
  </si>
  <si>
    <t>Замена КЛ от ТП-299 до ВРУ ж/д N215-17 по ул. Сутырина, 125м</t>
  </si>
  <si>
    <t>1.1.15</t>
  </si>
  <si>
    <t>Замена КЛ от РЩ-1/158 до ВРУ ж/д №8 по Глазковскому, 42м</t>
  </si>
  <si>
    <t>1.1.16</t>
  </si>
  <si>
    <t>Замена КЛ от РЩ-1/158 до ВРУ ж/д №8 по Глазковскому, 25м</t>
  </si>
  <si>
    <t>1.1.17</t>
  </si>
  <si>
    <t>Замена КЛ от ВРУ ж/д №37-а по ул. Димитрова до ВРУ ж/д №22 по ул. Сутырина, 140м</t>
  </si>
  <si>
    <t>1.1.18</t>
  </si>
  <si>
    <t>Замена КЛ от ТП-514 до ВРУ ж/д № 8 по ул. Боровой, 310м</t>
  </si>
  <si>
    <t>1.1.19</t>
  </si>
  <si>
    <t>Замена КЛ от ВРУ ж/д №28 до ВРУ ж/д №30 по ул. Фестивальной, 100м</t>
  </si>
  <si>
    <t>1.1.20</t>
  </si>
  <si>
    <t>Замена КЛ от ТП-458 до ВРУ ж/д №30 по ул. Боровой, 140м</t>
  </si>
  <si>
    <t>1.1.21</t>
  </si>
  <si>
    <t>Замена КЛ от ТП-449 до ВРУ № 1 ж/д № 20 по ул. Волжской, 200м</t>
  </si>
  <si>
    <t>1.1.22</t>
  </si>
  <si>
    <t>Замена КЛ от ТП-449 до ВРУ № 2 ж/д № 20 по ул. Волжской, 60м</t>
  </si>
  <si>
    <t>1.1.23</t>
  </si>
  <si>
    <t>Замена КЛ от ВРУ №1 до ВРУ №2 ж/д № 20 по ул. Волжской, 80м</t>
  </si>
  <si>
    <t>1.1.24</t>
  </si>
  <si>
    <t>Замена КЛ от ТП-449 до ВРУ ж/д № 20 по ул. Волжская с магазином, 220м</t>
  </si>
  <si>
    <t>1.1.25</t>
  </si>
  <si>
    <t>Замена КЛ от ВРУ ж/д №9-а до ВРУ ж/д N9 по ул. Мичуринцев, 40м</t>
  </si>
  <si>
    <t>1.1.26</t>
  </si>
  <si>
    <t>Замена КЛ от ВРУ ж/д N2 9-а до ВРУ ж/д 3-а по пр. Мичуринцев, 55м</t>
  </si>
  <si>
    <t>1.1.27</t>
  </si>
  <si>
    <t>Замена КЛ от ТП-247 до ВРУ ж/д №2 по ул.Мичуринцев, 160м</t>
  </si>
  <si>
    <t>1.1.28</t>
  </si>
  <si>
    <t>Замена КЛ от ТП-389 до ВРУ ж/д №128 по пр. Мира, 130м</t>
  </si>
  <si>
    <t>1.1.29</t>
  </si>
  <si>
    <t>Замена КЛ от ТП-331 до ВРУ ж/д №37-а по ул. Димитрова, 155м</t>
  </si>
  <si>
    <t>1.1.30</t>
  </si>
  <si>
    <t>Замена КЛ от ТП-368 до ВРУ ж/д №42/46 по ул.Симановского, 290м</t>
  </si>
  <si>
    <t>1.1.31</t>
  </si>
  <si>
    <t>Замена КЛ от ТП-419 до ВРУ ж/д №14 по ул. Индустриальной, 350м</t>
  </si>
  <si>
    <t>1.1.32</t>
  </si>
  <si>
    <t>Замена КЛ от ТП-506 до ВРУ ж/д №13 по ул. 5 Рабочая, 75м</t>
  </si>
  <si>
    <t>1.1.33</t>
  </si>
  <si>
    <t>Замена КЛ от ТП-286 до ВРУ ж/д № 62 по ул. Никитской, 110м</t>
  </si>
  <si>
    <t>1.1.34</t>
  </si>
  <si>
    <t>Замена КЛ от ТП-293 до ВРУ ж/д № 6 по ул. Скворцова, 50м</t>
  </si>
  <si>
    <t>1.1.35</t>
  </si>
  <si>
    <t>Замена КЛ от ВРУ ж/д № 114 до ВРУ ж/д № 116 по ул. Никитской, 80м</t>
  </si>
  <si>
    <t>1.1.36</t>
  </si>
  <si>
    <t>Замена КЛ от ВРУ ж д № 118 до ВРУ ж/д №116 по ул. Никитской, 80м</t>
  </si>
  <si>
    <t>1.1.37</t>
  </si>
  <si>
    <t>Замена КЛ от ТП-366 до ВРУ ж/д №197-а по ул. Шагова, 85м</t>
  </si>
  <si>
    <t>1.1.38</t>
  </si>
  <si>
    <t>Замена КЛ от ВРУ ж/д № 183 до ВРУ ж/д №197-а по ул. Шагова, 145м</t>
  </si>
  <si>
    <t>1.1.39</t>
  </si>
  <si>
    <t>Замена КЛ от ТП-394 до ВРУ ж/д №3 по ул. 3-й Сосновый пр., 50м</t>
  </si>
  <si>
    <t>1.1.40</t>
  </si>
  <si>
    <t>Замена КЛ от ТП-394 до опоры ВЛ-0.4 на ж/дома № 1,7,9,11 по 3-му Сосновому пр., 40м</t>
  </si>
  <si>
    <t>1.1.41</t>
  </si>
  <si>
    <t>Замена КЛ от ТП-394 до опоры ВЛ-0,4 уличного освещения на район 1-го, 2-го и 3-го Соснового пр., 30м</t>
  </si>
  <si>
    <t>1.1.42</t>
  </si>
  <si>
    <t>Замена КЛ от ТП-395 до опоры ВЛ-0.4 на ж/д № 16,21 по 2-му Сосновому пр. и ж/д  №13,19 по 1-му Сосновому пр. и от ТП-395 до опоры ВЛ-0.4 на ж/д 15, 19 по 2-му Сосоновому пр., 20м</t>
  </si>
  <si>
    <t>1.1.43</t>
  </si>
  <si>
    <t>Замена КЛ от ТП-303 до ВРУ ж/д № 37 по ул. Полянская, 130м</t>
  </si>
  <si>
    <t>1.1.44</t>
  </si>
  <si>
    <t>Замена КЛ от ВРУ ж/д № 36 до ВРУ ж/д № 29/34 по ул. Полянская, 120м</t>
  </si>
  <si>
    <t>1.1.45</t>
  </si>
  <si>
    <t>Реконструкция КЛ электропередач КЛ-0,4кВ г.Шарья, ул. 50 лет Советской власти д. 21</t>
  </si>
  <si>
    <t>1.1.46</t>
  </si>
  <si>
    <t>Реконструкция КЛ  электропередач КЛ-0,4кВ г.Шарья, ул. 50 лет Советской власти д. 25</t>
  </si>
  <si>
    <t>1.1.47</t>
  </si>
  <si>
    <t>Реконструкция КЛ  электропередач КЛ-0,4кВ г.Шарья, ул. 50 лет Советской власти д. 29</t>
  </si>
  <si>
    <t>1.1.48</t>
  </si>
  <si>
    <t>Реконструкция КЛ  электропередач КЛ-0,4кВ г.Шарья, ул. 50 лет Советской власти д. 32</t>
  </si>
  <si>
    <t>1.1.49</t>
  </si>
  <si>
    <t>Реконструкция КЛ  электропередач КЛ-0,4кВ г.Шарья, ул. 1-й Микрорайон д. 29А</t>
  </si>
  <si>
    <t>1.1.50</t>
  </si>
  <si>
    <t>Реконструкция КЛ  электропередач КЛ-0,4кВ г.Шарья, ул. 50 лет Советской власти д. 35</t>
  </si>
  <si>
    <t>1.1.51</t>
  </si>
  <si>
    <t>Реконструкция КЛ электропередач КЛ-0,4кВ г.Шарья, ул. 50 лет Советской власти д. 35А</t>
  </si>
  <si>
    <t>1.1.52</t>
  </si>
  <si>
    <t>Реконструкция КЛ электропередач КЛ-0,4кВ п.Ветлужский, ул. Калинина д. 3</t>
  </si>
  <si>
    <t>1.1.53</t>
  </si>
  <si>
    <t>Реконструкция КЛ электропередач КЛ-0,4кВ г.Шарья, ул. Дружба д. 5</t>
  </si>
  <si>
    <t>1.1.54</t>
  </si>
  <si>
    <t>Реконструкция сетей электроснабжения ВЛ-10кВ ф 10-02 то ПС Шекшема</t>
  </si>
  <si>
    <t>1.1.55</t>
  </si>
  <si>
    <t>Реконструкция ВЛ-10 кВ, ТП 10/0,4 кВ, ВЛ-0,4 кВ Кадыйский район, возле д. Лужиново</t>
  </si>
  <si>
    <t xml:space="preserve"> мероприятия выполнены после комплексного обследования </t>
  </si>
  <si>
    <t>1.1.56</t>
  </si>
  <si>
    <t>Реконструкция ТП-4 (г. Шарья, п. Новый, ул. Вишневая)</t>
  </si>
  <si>
    <t>1.1.57</t>
  </si>
  <si>
    <t xml:space="preserve">  Реконструкция ТП-2 (г. Шарья, п. Ветлужский, м-н Победы, дом 1 "Б").</t>
  </si>
  <si>
    <t>1.1.58</t>
  </si>
  <si>
    <t>Модернизация ТП- Красная маевка (г. Кострома, ул. Ленина, д. 160)</t>
  </si>
  <si>
    <t>1.1.59</t>
  </si>
  <si>
    <t>Модернизация ТП-385 (г.Кострома, ул. Костромская, д. 110)</t>
  </si>
  <si>
    <t>1.1.60</t>
  </si>
  <si>
    <t>Модернизация ТП-677 (г. Кострома, п. Новый,  у дома № 5)</t>
  </si>
  <si>
    <t>1.1.61</t>
  </si>
  <si>
    <t>Модернизация ТП-678  (г. Кострома, п. Новый,  у дома № 4)</t>
  </si>
  <si>
    <t>1.1.62</t>
  </si>
  <si>
    <t>Модернизация ТП-715 (г.Кострома, Кинешемское шоссе, д.66)</t>
  </si>
  <si>
    <t>1.1.63</t>
  </si>
  <si>
    <t>Модернизация ТП-724 (г.Кострома, Кинешемское шоссе, д.64б)</t>
  </si>
  <si>
    <t>1.1.64</t>
  </si>
  <si>
    <t>Модернизация ТП-459 (г.Кострома,ул.Волжская 2-я, д.2г)</t>
  </si>
  <si>
    <t>1.1.65</t>
  </si>
  <si>
    <t>Модернизация ТП-210 (Судисл.р-он.,Фадеевское с.п.,п.Мирный)</t>
  </si>
  <si>
    <t>1.1.66</t>
  </si>
  <si>
    <t>Модернизация ТП-255А (г.Кострома, ул. Калиновская, д 61, д.63)</t>
  </si>
  <si>
    <t>1.1.67</t>
  </si>
  <si>
    <t>Модернизация ТП-717 (г.Кострома, проезд Березовый, д.20/20, строение 1)</t>
  </si>
  <si>
    <t>1.1.68</t>
  </si>
  <si>
    <t>Модернизация ТП-722 (г.Кострома, ул.Ново-Полянская, дом 8 строение 1)</t>
  </si>
  <si>
    <t>1.1.69</t>
  </si>
  <si>
    <t>Реконструкция КЛ-0,4 кВ по г. Шарье (жилой фонд г. Шарья)</t>
  </si>
  <si>
    <t>1.1.70</t>
  </si>
  <si>
    <t>Реконструкция ВЛ-0,4 кВ на 1-й Сосновый пр. к ж/д 15,19 и 2-й Сосновый пр. к ж/д № 1,7,9,11 по 3-му</t>
  </si>
  <si>
    <t>1.1.71</t>
  </si>
  <si>
    <t>Реконструкция КЛ-0,4 кВ  от  ВРУ пристройки ж/д № 22 по ул. Мичуринцев до ВРУ ж/д № 21/24 по ул. Фестивальная</t>
  </si>
  <si>
    <t>1.1.72</t>
  </si>
  <si>
    <t>Реконструкция КЛ-0,4 кВ от ТП-394 до ВРУ ж-д № 3 по ул. 3-й Сосновый проезд</t>
  </si>
  <si>
    <t>1.1.73</t>
  </si>
  <si>
    <t xml:space="preserve">Реконструкция ВЛ-0,4 кВ от ТП "Новый" </t>
  </si>
  <si>
    <t>1.1.74</t>
  </si>
  <si>
    <t xml:space="preserve">Реконструкция ТП п. Прибрежный </t>
  </si>
  <si>
    <t>1.1.75</t>
  </si>
  <si>
    <t>Реконструкция ТП г.Кострома ул. Нижняя Дебря,104</t>
  </si>
  <si>
    <t>2.</t>
  </si>
  <si>
    <t>Новое строительство</t>
  </si>
  <si>
    <t>2.1</t>
  </si>
  <si>
    <t>Строительство ТП в п.Прибрежный (1. перевод населения с ТП-315 на новую ТП,ТМГ 400/6 цена:255тыс.руб 2.перевод населения с ТП-669 на новую ТП, мощностью 100кВА ТМГ</t>
  </si>
  <si>
    <t>2.2</t>
  </si>
  <si>
    <t xml:space="preserve">Строительство ТП в п.Васильевское ( ТП с 2-мя трансформаторами по 400кВА) ТМГ 400/6 </t>
  </si>
  <si>
    <t>2.3</t>
  </si>
  <si>
    <t>Строительство КЛ-0,4 кВ от ТП "Красная маевка" до газовой котельной, расположенной в р-не д.154 по ул.Ленина</t>
  </si>
  <si>
    <t>2.4</t>
  </si>
  <si>
    <t>Воздушная линия электропередач 10 кВ и ТП, Кадыйский р-н., Столпинское с/п, около д. Лужиново</t>
  </si>
  <si>
    <t>2.5</t>
  </si>
  <si>
    <t>Строительство КЛ-0,4 кВ от РУ-0,4 кВ ТП-722 до ВРУ-0,4 кВ по адресу:г. Кострома, Рабочий пр-кт, д.11</t>
  </si>
  <si>
    <t>2.6</t>
  </si>
  <si>
    <t>Строительство КЛ-0,4 кВ от ТП-677 до ВРУ-0,4 кВ нестационарного торгового объекта (по адресу: г.Кострома, п.Новый, напротив д.3) (ПИР)</t>
  </si>
  <si>
    <t>2.7</t>
  </si>
  <si>
    <t>Строительство СТП (тр. ОМ-10), ВЛ-10 кВ, ВЛ-0,4 кВ  к вышке №2 (по адресу: Костромская область, Кадыйский р-н,около д.Лужиново)</t>
  </si>
  <si>
    <t>2.8</t>
  </si>
  <si>
    <t>Строительство КЛ-6 кВ от врезки в КЛ-6 кВ до ведомственной ТП (г.Кострома, ул.Юбилейная, 24)</t>
  </si>
  <si>
    <t>3.</t>
  </si>
  <si>
    <t>Приобретение объектов основных средств</t>
  </si>
  <si>
    <t>3.1.</t>
  </si>
  <si>
    <t>Автомобиль Lada 210740</t>
  </si>
  <si>
    <t>3.2.</t>
  </si>
  <si>
    <t>Специальное транспортное средство — Автовышка</t>
  </si>
  <si>
    <t>3.3.</t>
  </si>
  <si>
    <t>Вагончик строительный 6*2,4 в ДВП (распашонка)</t>
  </si>
  <si>
    <t xml:space="preserve">Исполнительный директор </t>
  </si>
  <si>
    <t>Смирнов В.В.</t>
  </si>
  <si>
    <t>Приложение № 7.2</t>
  </si>
  <si>
    <t>Отчет об исполнении основных этапов работ по реализации инвестиционной программы ООО "Энергосервис" в отчетном году (4 квартал 2016 года)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</si>
  <si>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</si>
  <si>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</si>
  <si>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</si>
  <si>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</si>
  <si>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</si>
  <si>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</si>
  <si>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</si>
  <si>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ПИР</t>
  </si>
  <si>
    <t>СМР</t>
  </si>
  <si>
    <t>оборудо-
вание и мате-
Риалы</t>
  </si>
  <si>
    <t>прочие</t>
  </si>
  <si>
    <t>генерирующие объекты</t>
  </si>
  <si>
    <t>подстанции</t>
  </si>
  <si>
    <t>линии электропередачи</t>
  </si>
  <si>
    <t>иные объекты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</si>
  <si>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</si>
  <si>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</si>
  <si>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</si>
  <si>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</si>
  <si>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</si>
  <si>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</si>
  <si>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</si>
  <si>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</si>
  <si>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</si>
  <si>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ОМ-10</t>
  </si>
  <si>
    <t>СИП-3/СИП-2</t>
  </si>
  <si>
    <t>2,063/0,1</t>
  </si>
  <si>
    <t>ААБЛ-10 3х120</t>
  </si>
  <si>
    <r>
      <t xml:space="preserve">СИП 4х70 — 105м 
АБВбшв </t>
    </r>
    <r>
      <rPr>
        <sz val="8"/>
        <rFont val="Times New Roman"/>
        <family val="1"/>
      </rPr>
      <t>4х95</t>
    </r>
    <r>
      <rPr>
        <sz val="8"/>
        <rFont val="Times New Roman"/>
        <family val="1"/>
      </rPr>
      <t xml:space="preserve"> — 117 м</t>
    </r>
  </si>
  <si>
    <t>4.1.</t>
  </si>
  <si>
    <t>Приложение № 9</t>
  </si>
  <si>
    <t>Отчет об исполнении сетевых графиков строительства проектов ООО "Энергосервис".</t>
  </si>
  <si>
    <t xml:space="preserve">                           Утверждаю
        Генеральный директор 
ОАО "УК Русэнергокапитал"
                       И.И. Самарина </t>
  </si>
  <si>
    <t>Отчетный период 4 кв.2016 года</t>
  </si>
  <si>
    <t>по состоянию на 13.02.16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</si>
  <si>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</si>
  <si>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</si>
  <si>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</si>
  <si>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</si>
  <si>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</si>
  <si>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</si>
  <si>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</si>
  <si>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</si>
  <si>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</si>
  <si>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</si>
  <si>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</si>
  <si>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</t>
  </si>
  <si>
    <t>4.</t>
  </si>
  <si>
    <t>5.</t>
  </si>
  <si>
    <t>6.</t>
  </si>
  <si>
    <t>7.</t>
  </si>
  <si>
    <t>8.</t>
  </si>
  <si>
    <t>9.</t>
  </si>
  <si>
    <t>10.</t>
  </si>
  <si>
    <t>2016</t>
  </si>
  <si>
    <t>Строительство кабельная линия 0,4 кВ, г.Кострома, п.Новый, напротив д.3</t>
  </si>
  <si>
    <t>2.9</t>
  </si>
  <si>
    <t>Исполнительный директор</t>
  </si>
  <si>
    <t>Приложение № 8</t>
  </si>
  <si>
    <t>Отчет об источниках финансирования инвестиционной программы ООО "Энергосервис", млн. рублей без НДС</t>
  </si>
  <si>
    <t xml:space="preserve">(представляется ежеквартально) </t>
  </si>
  <si>
    <t xml:space="preserve">Утверждаю
Генеральный директор
ОАО "УК Русэнергокапитал"
И.И. Самарина 
 </t>
  </si>
  <si>
    <t>"</t>
  </si>
  <si>
    <t>13</t>
  </si>
  <si>
    <t>февраля</t>
  </si>
  <si>
    <t>17</t>
  </si>
  <si>
    <t>Источник финансирования</t>
  </si>
  <si>
    <t>план *</t>
  </si>
  <si>
    <t>факт **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</si>
  <si>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</si>
  <si>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</si>
  <si>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</si>
  <si>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</si>
  <si>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</si>
  <si>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</si>
  <si>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</si>
  <si>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</si>
  <si>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</si>
  <si>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</si>
  <si>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</si>
  <si>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</si>
  <si>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</si>
  <si>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</si>
  <si>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</si>
  <si>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</si>
  <si>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</si>
  <si>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</si>
  <si>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</si>
  <si>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</si>
  <si>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</si>
  <si>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</si>
  <si>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</si>
  <si>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</si>
  <si>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</si>
  <si>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</si>
  <si>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</si>
  <si>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</si>
  <si>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</si>
  <si>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</si>
  <si>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</si>
  <si>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</si>
  <si>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</si>
  <si>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</si>
  <si>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</si>
  <si>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</si>
  <si>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</si>
  <si>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</si>
  <si>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</si>
  <si>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</si>
  <si>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</si>
  <si>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</si>
  <si>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</si>
  <si>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</si>
  <si>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</si>
  <si>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</si>
  <si>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</si>
  <si>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</si>
  <si>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</si>
  <si>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</si>
  <si>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</si>
  <si>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</si>
  <si>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</si>
  <si>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</si>
  <si>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</si>
  <si>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 xml:space="preserve">Утверждаю
   Генеральный директор 
ОАО "УК Русэнергокапитал"
                       И.И.Самарина </t>
  </si>
  <si>
    <t>Отчет о вводах/выводах объектов на 31.12.2016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</si>
  <si>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</si>
  <si>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</si>
  <si>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</si>
  <si>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</si>
  <si>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</si>
  <si>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</si>
  <si>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Всего</t>
  </si>
  <si>
    <t>0</t>
  </si>
  <si>
    <t>0,001/0,533</t>
  </si>
  <si>
    <t>0,001/2,063/0,1</t>
  </si>
  <si>
    <t>Приложение № 11.2</t>
  </si>
  <si>
    <t xml:space="preserve">Утверждаю
Генеральный директор 
ОАО "УК Русэнергокапитал" 
И.И. Самарина </t>
  </si>
  <si>
    <t>______________________</t>
  </si>
  <si>
    <t>Контрольные этапы реализации инвестиционного проекта для сетевых компаний</t>
  </si>
  <si>
    <t>№
п/п</t>
  </si>
  <si>
    <t xml:space="preserve">Наименование </t>
  </si>
  <si>
    <t>Тип</t>
  </si>
  <si>
    <t xml:space="preserve">Предпроектный и проектный этап     </t>
  </si>
  <si>
    <t>мероприятия не требуется</t>
  </si>
  <si>
    <t>выполнено</t>
  </si>
  <si>
    <t xml:space="preserve">Получение заявки на ТП  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</si>
  <si>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</si>
  <si>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</si>
  <si>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</si>
  <si>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</si>
  <si>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</si>
  <si>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</si>
  <si>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Заключение договора подряда (допсоглашения к 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</si>
  <si>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</si>
  <si>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</si>
  <si>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</si>
  <si>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-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</si>
  <si>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</si>
  <si>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</si>
  <si>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</si>
  <si>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</si>
  <si>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</si>
  <si>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</si>
  <si>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</si>
  <si>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</si>
  <si>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</si>
  <si>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Исполнительный  директор</t>
  </si>
  <si>
    <t>Приложение № 12
к Приказу Минэнерго России
от 24.03.2010 № 114</t>
  </si>
  <si>
    <t>Форма представления показателей финансовой отчетности ООО "Энергосервис"
(представляется ежеквартально), тыс.руб.</t>
  </si>
  <si>
    <t>Финансовые показатели за отчетный период [</t>
  </si>
  <si>
    <t>4</t>
  </si>
  <si>
    <t>квартал</t>
  </si>
  <si>
    <t>года/</t>
  </si>
  <si>
    <t>2009</t>
  </si>
  <si>
    <t>год]</t>
  </si>
  <si>
    <t>Утверждаю
Генеральный директор  
ОАО "УК Русэнегокапитал"
Самарина И.И.</t>
  </si>
  <si>
    <t>Наименование показателя</t>
  </si>
  <si>
    <t>место учета</t>
  </si>
  <si>
    <t>на конец отчетного квартала/за отчетный квартал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</si>
  <si>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</si>
  <si>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</si>
  <si>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</si>
  <si>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</si>
  <si>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</si>
  <si>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(инвестпрограмма)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</si>
  <si>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</si>
  <si>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</si>
  <si>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</si>
  <si>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</si>
  <si>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</si>
  <si>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</si>
  <si>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</si>
  <si>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</si>
  <si>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</si>
  <si>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</si>
  <si>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</si>
  <si>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</si>
  <si>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</si>
  <si>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</si>
  <si>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</si>
  <si>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</si>
  <si>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</si>
  <si>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</si>
  <si>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</si>
  <si>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инвестпрограмма не была утверждена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</si>
  <si>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</si>
  <si>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</si>
  <si>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</si>
  <si>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</si>
  <si>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</si>
  <si>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Инвестиционная программа реализуется за счет собственных источников компании.За период 2010-2012 гг кредитные средства для реализации инвестпрограммы не привлекались.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</si>
  <si>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</si>
  <si>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</si>
  <si>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</si>
  <si>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</si>
  <si>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11.1</t>
  </si>
  <si>
    <t>от 24.03.2010 № 11.1</t>
  </si>
  <si>
    <t xml:space="preserve">Объем финансирования [4 кв.2016 года] </t>
  </si>
  <si>
    <t>Строительство СТП (тр. ОМ-10), ВЛ-10 кВ, ВЛ-0,4 кВ  к вышке №2 (по адресу: Костромская область, Кадыйский р-н, около д.Лужиново)</t>
  </si>
  <si>
    <t>" 24 " марта"  2017 года</t>
  </si>
  <si>
    <t xml:space="preserve">Отчет об исполнении инвестиционной программы ООО "Энергосервис" за 2016 г, млн. рублей с НДС </t>
  </si>
  <si>
    <t>Объем финансирования [2016 год]</t>
  </si>
  <si>
    <t>без НДС</t>
  </si>
  <si>
    <t>Приложение № 6.2</t>
  </si>
  <si>
    <t>Отчет об источниках финансирования инвестиционных программ, млн. рублей
(представляется ежегодно)</t>
  </si>
  <si>
    <t>Утверждаю</t>
  </si>
  <si>
    <t xml:space="preserve">Генеральный директор 
ОАО "УК Русэнергокапитал"
                       И.И. Самарина </t>
  </si>
  <si>
    <t>24</t>
  </si>
  <si>
    <t>марта</t>
  </si>
  <si>
    <t xml:space="preserve"> года</t>
  </si>
  <si>
    <t>Объем финансирования
[2016 год]</t>
  </si>
  <si>
    <t>1.1.3.1</t>
  </si>
  <si>
    <t>1.1.3.2</t>
  </si>
  <si>
    <t>1.2</t>
  </si>
  <si>
    <t>1.2.1</t>
  </si>
  <si>
    <t>1.2.2</t>
  </si>
  <si>
    <t>1.2.3</t>
  </si>
  <si>
    <t>1.3</t>
  </si>
  <si>
    <t>1.4</t>
  </si>
  <si>
    <t>1.4.1</t>
  </si>
  <si>
    <t>1.5</t>
  </si>
  <si>
    <t>2</t>
  </si>
  <si>
    <t>Приложение № 6.3</t>
  </si>
  <si>
    <t>Отчет о вводах/выводах объектов
(за 2016 год)</t>
  </si>
  <si>
    <t xml:space="preserve">Генеральный директор </t>
  </si>
  <si>
    <t>ОАО "УК Русэнергокапитал"</t>
  </si>
  <si>
    <t>И.И.Самарина</t>
  </si>
  <si>
    <t>МВт, Гкал/час, км</t>
  </si>
  <si>
    <t>* План в соответствии с утвержденной инвестиционной программой.</t>
  </si>
  <si>
    <t xml:space="preserve">Финансовые показатели за отчетный период </t>
  </si>
  <si>
    <t xml:space="preserve"> [</t>
  </si>
  <si>
    <t>год/</t>
  </si>
  <si>
    <t>Утверждаю
Генеральный директор  
ОАО "УК Русэнегокапитал"
И.И. Самарина</t>
  </si>
  <si>
    <t>Приложение № 13</t>
  </si>
  <si>
    <t>Отчет о техническом состоянии объекта
( 2016 год )</t>
  </si>
  <si>
    <t>Генеральный директор
ОАО "УК Русэнергопитал"
И.И.Самарина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</si>
  <si>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</si>
  <si>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</si>
  <si>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</si>
  <si>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</si>
  <si>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</si>
  <si>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</si>
  <si>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</si>
  <si>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</si>
  <si>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</si>
  <si>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</si>
  <si>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</si>
  <si>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</si>
  <si>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0,001</t>
  </si>
  <si>
    <t>0,533</t>
  </si>
  <si>
    <t>0,5525</t>
  </si>
  <si>
    <t>0,154</t>
  </si>
  <si>
    <t>Отчет о техническом состоянии объекта
(4 кв.2016 года )</t>
  </si>
  <si>
    <t>Генеральный директор
ОАО "УК Русэнергокапитал"
И.И.Самарина</t>
  </si>
  <si>
    <t>+</t>
  </si>
  <si>
    <t>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</si>
</sst>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\-??[$€-1]_-"/>
    <numFmt numFmtId="173" formatCode="#,##0;[Red]\-#,##0"/>
    <numFmt numFmtId="174" formatCode="\$#,##0_);[Red]&quot;($&quot;#,##0\)"/>
    <numFmt numFmtId="175" formatCode="0.000"/>
    <numFmt numFmtId="176" formatCode="0.0000"/>
    <numFmt numFmtId="177" formatCode="#,##0.000"/>
    <numFmt numFmtId="178" formatCode="#,##0.0000"/>
    <numFmt numFmtId="179" formatCode="0.00000"/>
    <numFmt numFmtId="180" formatCode="#,##0.00000"/>
    <numFmt numFmtId="181" formatCode="#,##0,"/>
    <numFmt numFmtId="182" formatCode="#,##0;\(#,##0\)"/>
    <numFmt numFmtId="183" formatCode="#,##0.00;\(#,##0.00\)"/>
    <numFmt numFmtId="184" formatCode="0.000%"/>
    <numFmt numFmtId="185" formatCode="#,##0.0"/>
    <numFmt numFmtId="186" formatCode="#,##0.000000"/>
    <numFmt numFmtId="187" formatCode="#,##0.000,"/>
    <numFmt numFmtId="188" formatCode="#,##0.0000000"/>
  </numFmts>
  <fonts count="8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sz val="9"/>
      <color indexed="11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sz val="20"/>
      <name val="Times New Roman"/>
      <family val="1"/>
    </font>
    <font>
      <sz val="14"/>
      <name val="Tahoma"/>
      <family val="2"/>
    </font>
    <font>
      <sz val="12"/>
      <name val="Times New Roman"/>
      <family val="1"/>
    </font>
    <font>
      <sz val="9"/>
      <color indexed="10"/>
      <name val="Tahoma"/>
      <family val="2"/>
    </font>
    <font>
      <b/>
      <sz val="8"/>
      <name val="Tahoma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10"/>
      <color indexed="21"/>
      <name val="Arial"/>
      <family val="2"/>
    </font>
    <font>
      <sz val="7"/>
      <name val="Times New Roman"/>
      <family val="1"/>
    </font>
    <font>
      <sz val="16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8"/>
      <name val="Times New Roman"/>
      <family val="1"/>
    </font>
    <font>
      <sz val="9"/>
      <color indexed="21"/>
      <name val="Arial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173" fontId="4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49" fontId="5" fillId="0" borderId="1">
      <alignment vertical="top"/>
      <protection locked="0"/>
    </xf>
    <xf numFmtId="174" fontId="6" fillId="0" borderId="0" applyFill="0" applyBorder="0" applyProtection="0">
      <alignment vertical="top"/>
    </xf>
    <xf numFmtId="0" fontId="7" fillId="0" borderId="0" applyFill="0" applyBorder="0" applyProtection="0">
      <alignment vertical="center"/>
    </xf>
    <xf numFmtId="49" fontId="8" fillId="0" borderId="0" applyFill="0" applyBorder="0" applyProtection="0">
      <alignment vertical="top"/>
    </xf>
    <xf numFmtId="49" fontId="5" fillId="9" borderId="1">
      <alignment vertical="top"/>
      <protection/>
    </xf>
    <xf numFmtId="49" fontId="9" fillId="0" borderId="0" applyFill="0" applyBorder="0" applyProtection="0">
      <alignment vertical="top"/>
    </xf>
    <xf numFmtId="49" fontId="10" fillId="0" borderId="0" applyFill="0" applyBorder="0" applyProtection="0">
      <alignment vertical="top"/>
    </xf>
    <xf numFmtId="0" fontId="4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1" fillId="13" borderId="2">
      <alignment horizontal="center" vertical="center"/>
      <protection/>
    </xf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3" applyNumberFormat="0" applyAlignment="0" applyProtection="0"/>
    <xf numFmtId="0" fontId="68" fillId="21" borderId="4" applyNumberFormat="0" applyAlignment="0" applyProtection="0"/>
    <xf numFmtId="0" fontId="69" fillId="21" borderId="3" applyNumberFormat="0" applyAlignment="0" applyProtection="0"/>
    <xf numFmtId="0" fontId="9" fillId="0" borderId="0" applyNumberFormat="0" applyFill="0" applyBorder="0" applyAlignment="0" applyProtection="0"/>
    <xf numFmtId="49" fontId="12" fillId="0" borderId="0" applyFill="0" applyBorder="0" applyProtection="0">
      <alignment vertical="top"/>
    </xf>
    <xf numFmtId="49" fontId="13" fillId="0" borderId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73" fillId="0" borderId="8" applyNumberFormat="0" applyFill="0" applyAlignment="0" applyProtection="0"/>
    <xf numFmtId="0" fontId="74" fillId="22" borderId="9" applyNumberFormat="0" applyAlignment="0" applyProtection="0"/>
    <xf numFmtId="0" fontId="75" fillId="0" borderId="0" applyNumberFormat="0" applyFill="0" applyBorder="0" applyAlignment="0" applyProtection="0"/>
    <xf numFmtId="0" fontId="76" fillId="23" borderId="0" applyNumberFormat="0" applyBorder="0" applyAlignment="0" applyProtection="0"/>
    <xf numFmtId="49" fontId="6" fillId="0" borderId="0" applyBorder="0">
      <alignment vertical="top"/>
      <protection/>
    </xf>
    <xf numFmtId="0" fontId="0" fillId="0" borderId="0">
      <alignment/>
      <protection/>
    </xf>
    <xf numFmtId="49" fontId="6" fillId="0" borderId="0" applyFill="0" applyBorder="0" applyProtection="0">
      <alignment vertical="top"/>
    </xf>
    <xf numFmtId="49" fontId="6" fillId="0" borderId="0" applyBorder="0">
      <alignment vertical="top"/>
      <protection/>
    </xf>
    <xf numFmtId="0" fontId="4" fillId="0" borderId="0">
      <alignment/>
      <protection/>
    </xf>
    <xf numFmtId="49" fontId="15" fillId="24" borderId="0" applyBorder="0">
      <alignment vertical="top"/>
      <protection/>
    </xf>
    <xf numFmtId="0" fontId="0" fillId="0" borderId="0">
      <alignment/>
      <protection/>
    </xf>
    <xf numFmtId="49" fontId="6" fillId="24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" fillId="0" borderId="0">
      <alignment vertical="top"/>
      <protection/>
    </xf>
    <xf numFmtId="0" fontId="46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6" borderId="10" applyNumberFormat="0" applyFont="0" applyAlignment="0" applyProtection="0"/>
    <xf numFmtId="9" fontId="1" fillId="0" borderId="0" applyFill="0" applyBorder="0" applyAlignment="0" applyProtection="0"/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1" fillId="27" borderId="0" applyNumberFormat="0" applyBorder="0" applyAlignment="0" applyProtection="0"/>
  </cellStyleXfs>
  <cellXfs count="473">
    <xf numFmtId="0" fontId="0" fillId="0" borderId="0" xfId="0" applyAlignment="1">
      <alignment/>
    </xf>
    <xf numFmtId="49" fontId="16" fillId="0" borderId="0" xfId="100" applyFont="1" applyFill="1" applyAlignment="1">
      <alignment horizontal="center" vertical="center" wrapText="1"/>
      <protection/>
    </xf>
    <xf numFmtId="49" fontId="17" fillId="0" borderId="0" xfId="100" applyFont="1" applyFill="1" applyAlignment="1">
      <alignment horizontal="center" vertical="center" wrapText="1"/>
      <protection/>
    </xf>
    <xf numFmtId="49" fontId="6" fillId="0" borderId="0" xfId="100" applyFill="1" applyAlignment="1">
      <alignment horizontal="center" vertical="center" wrapText="1"/>
      <protection/>
    </xf>
    <xf numFmtId="49" fontId="16" fillId="0" borderId="0" xfId="100" applyFont="1" applyFill="1" applyBorder="1" applyAlignment="1">
      <alignment horizontal="center" vertical="center" wrapText="1"/>
      <protection/>
    </xf>
    <xf numFmtId="49" fontId="16" fillId="0" borderId="0" xfId="100" applyFont="1" applyFill="1" applyAlignment="1">
      <alignment horizontal="right" vertical="center" wrapText="1"/>
      <protection/>
    </xf>
    <xf numFmtId="0" fontId="18" fillId="0" borderId="0" xfId="0" applyFont="1" applyFill="1" applyBorder="1" applyAlignment="1">
      <alignment horizontal="right" vertical="center" wrapText="1"/>
    </xf>
    <xf numFmtId="49" fontId="19" fillId="0" borderId="0" xfId="100" applyFont="1" applyFill="1" applyBorder="1" applyAlignment="1">
      <alignment horizontal="right" wrapText="1"/>
      <protection/>
    </xf>
    <xf numFmtId="49" fontId="16" fillId="0" borderId="12" xfId="100" applyFont="1" applyFill="1" applyBorder="1" applyAlignment="1">
      <alignment horizontal="center" vertical="center" wrapText="1"/>
      <protection/>
    </xf>
    <xf numFmtId="49" fontId="19" fillId="0" borderId="0" xfId="100" applyFont="1" applyFill="1" applyAlignment="1">
      <alignment horizontal="center" vertical="center" wrapText="1"/>
      <protection/>
    </xf>
    <xf numFmtId="49" fontId="20" fillId="0" borderId="0" xfId="100" applyFont="1" applyFill="1" applyBorder="1" applyAlignment="1">
      <alignment horizontal="right"/>
      <protection/>
    </xf>
    <xf numFmtId="49" fontId="19" fillId="0" borderId="0" xfId="100" applyFont="1" applyFill="1" applyBorder="1" applyAlignment="1">
      <alignment horizontal="right"/>
      <protection/>
    </xf>
    <xf numFmtId="49" fontId="19" fillId="0" borderId="0" xfId="100" applyFont="1" applyFill="1">
      <alignment vertical="top"/>
      <protection/>
    </xf>
    <xf numFmtId="49" fontId="19" fillId="0" borderId="0" xfId="100" applyFont="1" applyFill="1" applyAlignment="1">
      <alignment horizontal="left"/>
      <protection/>
    </xf>
    <xf numFmtId="2" fontId="16" fillId="0" borderId="0" xfId="100" applyNumberFormat="1" applyFont="1" applyFill="1" applyAlignment="1">
      <alignment horizontal="center" vertical="center" wrapText="1"/>
      <protection/>
    </xf>
    <xf numFmtId="49" fontId="19" fillId="0" borderId="0" xfId="100" applyFont="1" applyFill="1" applyAlignment="1">
      <alignment horizontal="right"/>
      <protection/>
    </xf>
    <xf numFmtId="49" fontId="21" fillId="0" borderId="0" xfId="100" applyFont="1" applyFill="1" applyBorder="1" applyAlignment="1">
      <alignment horizontal="center" vertical="center" wrapText="1"/>
      <protection/>
    </xf>
    <xf numFmtId="49" fontId="22" fillId="0" borderId="0" xfId="100" applyFont="1" applyFill="1" applyBorder="1" applyAlignment="1">
      <alignment horizontal="center" vertical="center" wrapText="1"/>
      <protection/>
    </xf>
    <xf numFmtId="49" fontId="22" fillId="0" borderId="13" xfId="100" applyFont="1" applyFill="1" applyBorder="1" applyAlignment="1">
      <alignment horizontal="center" vertical="center" wrapText="1"/>
      <protection/>
    </xf>
    <xf numFmtId="49" fontId="24" fillId="0" borderId="13" xfId="100" applyFont="1" applyFill="1" applyBorder="1" applyAlignment="1">
      <alignment horizontal="center" vertical="center" wrapText="1"/>
      <protection/>
    </xf>
    <xf numFmtId="49" fontId="24" fillId="0" borderId="13" xfId="100" applyFont="1" applyFill="1" applyBorder="1" applyAlignment="1">
      <alignment horizontal="center" vertical="center" wrapText="1"/>
      <protection/>
    </xf>
    <xf numFmtId="49" fontId="6" fillId="0" borderId="0" xfId="100" applyFont="1" applyFill="1" applyAlignment="1">
      <alignment horizontal="center" vertical="center" wrapText="1"/>
      <protection/>
    </xf>
    <xf numFmtId="175" fontId="24" fillId="0" borderId="13" xfId="100" applyNumberFormat="1" applyFont="1" applyFill="1" applyBorder="1" applyAlignment="1">
      <alignment horizontal="center" vertical="center" wrapText="1"/>
      <protection/>
    </xf>
    <xf numFmtId="175" fontId="22" fillId="0" borderId="13" xfId="100" applyNumberFormat="1" applyFont="1" applyFill="1" applyBorder="1" applyAlignment="1">
      <alignment horizontal="center" vertical="center" wrapText="1"/>
      <protection/>
    </xf>
    <xf numFmtId="175" fontId="24" fillId="0" borderId="13" xfId="100" applyNumberFormat="1" applyFont="1" applyFill="1" applyBorder="1" applyAlignment="1">
      <alignment horizontal="center" vertical="center" wrapText="1"/>
      <protection/>
    </xf>
    <xf numFmtId="2" fontId="24" fillId="0" borderId="13" xfId="100" applyNumberFormat="1" applyFont="1" applyFill="1" applyBorder="1" applyAlignment="1">
      <alignment horizontal="center" vertical="center" wrapText="1"/>
      <protection/>
    </xf>
    <xf numFmtId="175" fontId="16" fillId="0" borderId="13" xfId="100" applyNumberFormat="1" applyFont="1" applyFill="1" applyBorder="1" applyAlignment="1">
      <alignment horizontal="center" vertical="center" wrapText="1"/>
      <protection/>
    </xf>
    <xf numFmtId="49" fontId="16" fillId="0" borderId="13" xfId="100" applyFont="1" applyFill="1" applyBorder="1" applyAlignment="1">
      <alignment horizontal="center" vertical="center" wrapText="1"/>
      <protection/>
    </xf>
    <xf numFmtId="4" fontId="6" fillId="0" borderId="0" xfId="100" applyNumberFormat="1" applyFont="1" applyFill="1" applyAlignment="1">
      <alignment horizontal="center" vertical="center" wrapText="1"/>
      <protection/>
    </xf>
    <xf numFmtId="0" fontId="6" fillId="0" borderId="0" xfId="100" applyNumberFormat="1" applyFont="1" applyFill="1" applyAlignment="1">
      <alignment horizontal="center" vertical="center" wrapText="1"/>
      <protection/>
    </xf>
    <xf numFmtId="49" fontId="22" fillId="0" borderId="13" xfId="100" applyFont="1" applyFill="1" applyBorder="1" applyAlignment="1">
      <alignment horizontal="left" vertical="center" wrapText="1"/>
      <protection/>
    </xf>
    <xf numFmtId="175" fontId="16" fillId="0" borderId="13" xfId="100" applyNumberFormat="1" applyFont="1" applyFill="1" applyBorder="1" applyAlignment="1">
      <alignment horizontal="center" vertical="center" wrapText="1"/>
      <protection/>
    </xf>
    <xf numFmtId="175" fontId="6" fillId="0" borderId="0" xfId="100" applyNumberFormat="1" applyFont="1" applyFill="1" applyAlignment="1">
      <alignment horizontal="center" vertical="center" wrapText="1"/>
      <protection/>
    </xf>
    <xf numFmtId="49" fontId="24" fillId="0" borderId="13" xfId="100" applyNumberFormat="1" applyFont="1" applyFill="1" applyBorder="1" applyAlignment="1">
      <alignment horizontal="center" vertical="center" wrapText="1"/>
      <protection/>
    </xf>
    <xf numFmtId="49" fontId="16" fillId="0" borderId="13" xfId="100" applyNumberFormat="1" applyFont="1" applyFill="1" applyBorder="1" applyAlignment="1">
      <alignment horizontal="center" vertical="center" wrapText="1"/>
      <protection/>
    </xf>
    <xf numFmtId="49" fontId="17" fillId="0" borderId="13" xfId="100" applyFont="1" applyFill="1" applyBorder="1" applyAlignment="1">
      <alignment horizontal="left" vertical="center" wrapText="1"/>
      <protection/>
    </xf>
    <xf numFmtId="175" fontId="5" fillId="0" borderId="13" xfId="100" applyNumberFormat="1" applyFont="1" applyFill="1" applyBorder="1" applyAlignment="1">
      <alignment horizontal="center" vertical="center" wrapText="1"/>
      <protection/>
    </xf>
    <xf numFmtId="2" fontId="16" fillId="0" borderId="13" xfId="100" applyNumberFormat="1" applyFont="1" applyFill="1" applyBorder="1" applyAlignment="1">
      <alignment horizontal="center" vertical="center" wrapText="1"/>
      <protection/>
    </xf>
    <xf numFmtId="175" fontId="25" fillId="0" borderId="13" xfId="100" applyNumberFormat="1" applyFont="1" applyFill="1" applyBorder="1" applyAlignment="1">
      <alignment horizontal="center" vertical="center" wrapText="1"/>
      <protection/>
    </xf>
    <xf numFmtId="2" fontId="24" fillId="0" borderId="13" xfId="100" applyNumberFormat="1" applyFont="1" applyFill="1" applyBorder="1" applyAlignment="1">
      <alignment horizontal="center" vertical="center" wrapText="1"/>
      <protection/>
    </xf>
    <xf numFmtId="49" fontId="26" fillId="0" borderId="0" xfId="100" applyFont="1" applyFill="1" applyAlignment="1">
      <alignment horizontal="center" vertical="center" wrapText="1"/>
      <protection/>
    </xf>
    <xf numFmtId="49" fontId="16" fillId="0" borderId="13" xfId="100" applyNumberFormat="1" applyFont="1" applyFill="1" applyBorder="1" applyAlignment="1">
      <alignment horizontal="center" vertical="center" wrapText="1"/>
      <protection/>
    </xf>
    <xf numFmtId="175" fontId="24" fillId="0" borderId="13" xfId="100" applyNumberFormat="1" applyFont="1" applyFill="1" applyBorder="1" applyAlignment="1" applyProtection="1">
      <alignment horizontal="center" vertical="center" wrapText="1"/>
      <protection locked="0"/>
    </xf>
    <xf numFmtId="175" fontId="16" fillId="0" borderId="14" xfId="100" applyNumberFormat="1" applyFont="1" applyFill="1" applyBorder="1" applyAlignment="1">
      <alignment horizontal="center" vertical="center" wrapText="1"/>
      <protection/>
    </xf>
    <xf numFmtId="49" fontId="16" fillId="0" borderId="14" xfId="100" applyFont="1" applyFill="1" applyBorder="1" applyAlignment="1">
      <alignment horizontal="center" vertical="center" wrapText="1"/>
      <protection/>
    </xf>
    <xf numFmtId="49" fontId="24" fillId="0" borderId="14" xfId="100" applyNumberFormat="1" applyFont="1" applyFill="1" applyBorder="1" applyAlignment="1">
      <alignment horizontal="center" vertical="center" wrapText="1"/>
      <protection/>
    </xf>
    <xf numFmtId="175" fontId="24" fillId="0" borderId="14" xfId="100" applyNumberFormat="1" applyFont="1" applyFill="1" applyBorder="1" applyAlignment="1">
      <alignment horizontal="center" vertical="center" wrapText="1"/>
      <protection/>
    </xf>
    <xf numFmtId="175" fontId="24" fillId="0" borderId="15" xfId="100" applyNumberFormat="1" applyFont="1" applyFill="1" applyBorder="1" applyAlignment="1">
      <alignment horizontal="center" vertical="center" wrapText="1"/>
      <protection/>
    </xf>
    <xf numFmtId="175" fontId="24" fillId="0" borderId="16" xfId="100" applyNumberFormat="1" applyFont="1" applyFill="1" applyBorder="1" applyAlignment="1">
      <alignment horizontal="center" vertical="center" wrapText="1"/>
      <protection/>
    </xf>
    <xf numFmtId="175" fontId="24" fillId="0" borderId="14" xfId="100" applyNumberFormat="1" applyFont="1" applyFill="1" applyBorder="1" applyAlignment="1">
      <alignment horizontal="center" vertical="center" wrapText="1"/>
      <protection/>
    </xf>
    <xf numFmtId="2" fontId="16" fillId="0" borderId="14" xfId="100" applyNumberFormat="1" applyFont="1" applyFill="1" applyBorder="1" applyAlignment="1">
      <alignment horizontal="center" vertical="center" wrapText="1"/>
      <protection/>
    </xf>
    <xf numFmtId="49" fontId="24" fillId="0" borderId="14" xfId="100" applyFont="1" applyFill="1" applyBorder="1" applyAlignment="1">
      <alignment horizontal="center" vertical="center" wrapText="1"/>
      <protection/>
    </xf>
    <xf numFmtId="49" fontId="17" fillId="0" borderId="14" xfId="100" applyFont="1" applyFill="1" applyBorder="1" applyAlignment="1">
      <alignment horizontal="left" vertical="center" wrapText="1"/>
      <protection/>
    </xf>
    <xf numFmtId="175" fontId="16" fillId="0" borderId="17" xfId="100" applyNumberFormat="1" applyFont="1" applyFill="1" applyBorder="1" applyAlignment="1">
      <alignment horizontal="center" vertical="center" wrapText="1"/>
      <protection/>
    </xf>
    <xf numFmtId="175" fontId="16" fillId="0" borderId="16" xfId="100" applyNumberFormat="1" applyFont="1" applyFill="1" applyBorder="1" applyAlignment="1">
      <alignment horizontal="center" vertical="center" wrapText="1"/>
      <protection/>
    </xf>
    <xf numFmtId="175" fontId="16" fillId="0" borderId="15" xfId="100" applyNumberFormat="1" applyFont="1" applyFill="1" applyBorder="1" applyAlignment="1">
      <alignment horizontal="center" vertical="center" wrapText="1"/>
      <protection/>
    </xf>
    <xf numFmtId="175" fontId="24" fillId="0" borderId="17" xfId="100" applyNumberFormat="1" applyFont="1" applyFill="1" applyBorder="1" applyAlignment="1">
      <alignment horizontal="center" vertical="center" wrapText="1"/>
      <protection/>
    </xf>
    <xf numFmtId="49" fontId="17" fillId="0" borderId="0" xfId="100" applyFont="1" applyFill="1" applyBorder="1" applyAlignment="1">
      <alignment horizontal="left" vertical="center" wrapText="1"/>
      <protection/>
    </xf>
    <xf numFmtId="175" fontId="24" fillId="0" borderId="0" xfId="100" applyNumberFormat="1" applyFont="1" applyFill="1" applyBorder="1" applyAlignment="1">
      <alignment horizontal="center" vertical="center" wrapText="1"/>
      <protection/>
    </xf>
    <xf numFmtId="175" fontId="16" fillId="0" borderId="0" xfId="100" applyNumberFormat="1" applyFont="1" applyFill="1" applyBorder="1" applyAlignment="1">
      <alignment horizontal="center" vertical="center" wrapText="1"/>
      <protection/>
    </xf>
    <xf numFmtId="49" fontId="6" fillId="0" borderId="0" xfId="100" applyFill="1" applyBorder="1" applyAlignment="1">
      <alignment horizontal="center" vertical="center" wrapText="1"/>
      <protection/>
    </xf>
    <xf numFmtId="175" fontId="16" fillId="0" borderId="0" xfId="100" applyNumberFormat="1" applyFont="1" applyFill="1" applyBorder="1" applyAlignment="1">
      <alignment horizontal="center" vertical="center" wrapText="1"/>
      <protection/>
    </xf>
    <xf numFmtId="49" fontId="28" fillId="0" borderId="0" xfId="100" applyFont="1" applyFill="1" applyAlignment="1">
      <alignment horizontal="center" vertical="center" wrapText="1"/>
      <protection/>
    </xf>
    <xf numFmtId="2" fontId="6" fillId="0" borderId="0" xfId="100" applyNumberFormat="1" applyFont="1" applyFill="1" applyAlignment="1">
      <alignment horizontal="center" vertical="center" wrapText="1"/>
      <protection/>
    </xf>
    <xf numFmtId="2" fontId="6" fillId="0" borderId="0" xfId="100" applyNumberFormat="1" applyFill="1" applyAlignment="1">
      <alignment horizontal="center" vertical="center" wrapText="1"/>
      <protection/>
    </xf>
    <xf numFmtId="2" fontId="30" fillId="0" borderId="0" xfId="100" applyNumberFormat="1" applyFont="1" applyFill="1" applyAlignment="1">
      <alignment horizontal="center" vertical="center" wrapText="1"/>
      <protection/>
    </xf>
    <xf numFmtId="2" fontId="31" fillId="0" borderId="0" xfId="100" applyNumberFormat="1" applyFont="1" applyFill="1" applyAlignment="1">
      <alignment horizontal="center" vertical="center" wrapText="1"/>
      <protection/>
    </xf>
    <xf numFmtId="49" fontId="16" fillId="0" borderId="0" xfId="100" applyFont="1">
      <alignment vertical="top"/>
      <protection/>
    </xf>
    <xf numFmtId="49" fontId="29" fillId="0" borderId="0" xfId="100" applyFont="1">
      <alignment vertical="top"/>
      <protection/>
    </xf>
    <xf numFmtId="49" fontId="16" fillId="0" borderId="0" xfId="100" applyFont="1" applyFill="1">
      <alignment vertical="top"/>
      <protection/>
    </xf>
    <xf numFmtId="49" fontId="32" fillId="0" borderId="0" xfId="100" applyFont="1">
      <alignment vertical="top"/>
      <protection/>
    </xf>
    <xf numFmtId="49" fontId="33" fillId="0" borderId="0" xfId="100" applyFont="1">
      <alignment vertical="top"/>
      <protection/>
    </xf>
    <xf numFmtId="49" fontId="16" fillId="0" borderId="0" xfId="100" applyFont="1" applyBorder="1" applyAlignment="1">
      <alignment horizontal="right" vertical="center"/>
      <protection/>
    </xf>
    <xf numFmtId="49" fontId="16" fillId="0" borderId="0" xfId="100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right" vertical="center" wrapText="1"/>
    </xf>
    <xf numFmtId="4" fontId="16" fillId="0" borderId="0" xfId="100" applyNumberFormat="1" applyFont="1">
      <alignment vertical="top"/>
      <protection/>
    </xf>
    <xf numFmtId="2" fontId="16" fillId="0" borderId="0" xfId="100" applyNumberFormat="1" applyFont="1">
      <alignment vertical="top"/>
      <protection/>
    </xf>
    <xf numFmtId="4" fontId="16" fillId="0" borderId="0" xfId="100" applyNumberFormat="1" applyFont="1" applyFill="1">
      <alignment vertical="top"/>
      <protection/>
    </xf>
    <xf numFmtId="49" fontId="22" fillId="0" borderId="13" xfId="100" applyFont="1" applyFill="1" applyBorder="1" applyAlignment="1">
      <alignment horizontal="center" vertical="center" wrapText="1"/>
      <protection/>
    </xf>
    <xf numFmtId="49" fontId="16" fillId="0" borderId="0" xfId="100" applyFont="1" applyAlignment="1">
      <alignment horizontal="center" vertical="center" wrapText="1"/>
      <protection/>
    </xf>
    <xf numFmtId="49" fontId="17" fillId="0" borderId="13" xfId="100" applyFont="1" applyBorder="1" applyAlignment="1">
      <alignment horizontal="center" vertical="center" wrapText="1"/>
      <protection/>
    </xf>
    <xf numFmtId="49" fontId="17" fillId="0" borderId="13" xfId="100" applyFont="1" applyFill="1" applyBorder="1" applyAlignment="1">
      <alignment horizontal="center" vertical="center" wrapText="1"/>
      <protection/>
    </xf>
    <xf numFmtId="175" fontId="33" fillId="0" borderId="13" xfId="100" applyNumberFormat="1" applyFont="1" applyFill="1" applyBorder="1" applyAlignment="1">
      <alignment horizontal="center" vertical="center" wrapText="1"/>
      <protection/>
    </xf>
    <xf numFmtId="175" fontId="22" fillId="0" borderId="13" xfId="100" applyNumberFormat="1" applyFont="1" applyBorder="1" applyAlignment="1">
      <alignment horizontal="center" vertical="center" wrapText="1"/>
      <protection/>
    </xf>
    <xf numFmtId="175" fontId="22" fillId="0" borderId="13" xfId="100" applyNumberFormat="1" applyFont="1" applyFill="1" applyBorder="1" applyAlignment="1">
      <alignment horizontal="center" vertical="center" wrapText="1"/>
      <protection/>
    </xf>
    <xf numFmtId="49" fontId="33" fillId="0" borderId="13" xfId="100" applyFont="1" applyFill="1" applyBorder="1" applyAlignment="1">
      <alignment horizontal="left" vertical="center" wrapText="1"/>
      <protection/>
    </xf>
    <xf numFmtId="49" fontId="22" fillId="0" borderId="13" xfId="100" applyNumberFormat="1" applyFont="1" applyFill="1" applyBorder="1" applyAlignment="1">
      <alignment horizontal="center" vertical="center" wrapText="1"/>
      <protection/>
    </xf>
    <xf numFmtId="49" fontId="17" fillId="0" borderId="13" xfId="100" applyNumberFormat="1" applyFont="1" applyFill="1" applyBorder="1" applyAlignment="1">
      <alignment horizontal="center" vertical="center" wrapText="1"/>
      <protection/>
    </xf>
    <xf numFmtId="175" fontId="17" fillId="0" borderId="13" xfId="100" applyNumberFormat="1" applyFont="1" applyBorder="1" applyAlignment="1">
      <alignment horizontal="center" vertical="center" wrapText="1"/>
      <protection/>
    </xf>
    <xf numFmtId="177" fontId="17" fillId="0" borderId="13" xfId="100" applyNumberFormat="1" applyFont="1" applyBorder="1" applyAlignment="1">
      <alignment horizontal="center" vertical="center" wrapText="1"/>
      <protection/>
    </xf>
    <xf numFmtId="177" fontId="17" fillId="0" borderId="13" xfId="100" applyNumberFormat="1" applyFont="1" applyBorder="1" applyAlignment="1">
      <alignment horizontal="center" vertical="center" wrapText="1"/>
      <protection/>
    </xf>
    <xf numFmtId="177" fontId="17" fillId="0" borderId="13" xfId="100" applyNumberFormat="1" applyFont="1" applyFill="1" applyBorder="1" applyAlignment="1">
      <alignment horizontal="center" vertical="center" wrapText="1"/>
      <protection/>
    </xf>
    <xf numFmtId="177" fontId="17" fillId="0" borderId="13" xfId="100" applyNumberFormat="1" applyFont="1" applyFill="1" applyBorder="1" applyAlignment="1">
      <alignment horizontal="center" vertical="center" wrapText="1"/>
      <protection/>
    </xf>
    <xf numFmtId="175" fontId="17" fillId="0" borderId="13" xfId="100" applyNumberFormat="1" applyFont="1" applyFill="1" applyBorder="1" applyAlignment="1">
      <alignment horizontal="center" vertical="center" wrapText="1"/>
      <protection/>
    </xf>
    <xf numFmtId="177" fontId="16" fillId="0" borderId="13" xfId="100" applyNumberFormat="1" applyFont="1" applyFill="1" applyBorder="1" applyAlignment="1">
      <alignment horizontal="center" vertical="center" wrapText="1"/>
      <protection/>
    </xf>
    <xf numFmtId="0" fontId="22" fillId="0" borderId="13" xfId="100" applyNumberFormat="1" applyFont="1" applyFill="1" applyBorder="1" applyAlignment="1">
      <alignment horizontal="center" vertical="center" wrapText="1"/>
      <protection/>
    </xf>
    <xf numFmtId="49" fontId="35" fillId="0" borderId="0" xfId="100" applyFont="1" applyAlignment="1">
      <alignment horizontal="center" vertical="center" wrapText="1"/>
      <protection/>
    </xf>
    <xf numFmtId="175" fontId="17" fillId="0" borderId="13" xfId="100" applyNumberFormat="1" applyFont="1" applyFill="1" applyBorder="1" applyAlignment="1">
      <alignment horizontal="center" vertical="center" wrapText="1"/>
      <protection/>
    </xf>
    <xf numFmtId="49" fontId="35" fillId="0" borderId="0" xfId="100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178" fontId="16" fillId="0" borderId="0" xfId="100" applyNumberFormat="1" applyFont="1" applyFill="1">
      <alignment vertical="top"/>
      <protection/>
    </xf>
    <xf numFmtId="49" fontId="16" fillId="0" borderId="0" xfId="100" applyFont="1" applyAlignment="1">
      <alignment horizontal="center" vertical="center"/>
      <protection/>
    </xf>
    <xf numFmtId="49" fontId="16" fillId="0" borderId="0" xfId="100" applyFont="1" applyBorder="1" applyAlignment="1">
      <alignment vertical="center"/>
      <protection/>
    </xf>
    <xf numFmtId="49" fontId="16" fillId="0" borderId="0" xfId="100" applyFont="1" applyBorder="1" applyAlignment="1">
      <alignment vertical="center" wrapText="1"/>
      <protection/>
    </xf>
    <xf numFmtId="49" fontId="16" fillId="0" borderId="0" xfId="100" applyFont="1" applyBorder="1" applyAlignment="1">
      <alignment horizontal="center" vertical="center" wrapText="1"/>
      <protection/>
    </xf>
    <xf numFmtId="49" fontId="33" fillId="0" borderId="0" xfId="10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49" fontId="33" fillId="0" borderId="0" xfId="100" applyFont="1" applyAlignment="1">
      <alignment horizontal="left" vertical="center"/>
      <protection/>
    </xf>
    <xf numFmtId="49" fontId="17" fillId="0" borderId="0" xfId="100" applyFont="1" applyAlignment="1">
      <alignment horizontal="left" vertical="center"/>
      <protection/>
    </xf>
    <xf numFmtId="49" fontId="17" fillId="0" borderId="0" xfId="100" applyFont="1" applyAlignment="1">
      <alignment horizontal="center" vertical="center"/>
      <protection/>
    </xf>
    <xf numFmtId="49" fontId="22" fillId="0" borderId="0" xfId="100" applyFont="1" applyAlignment="1">
      <alignment horizontal="left" vertical="center"/>
      <protection/>
    </xf>
    <xf numFmtId="9" fontId="17" fillId="0" borderId="13" xfId="100" applyNumberFormat="1" applyFont="1" applyBorder="1" applyAlignment="1">
      <alignment horizontal="center" vertical="center" wrapText="1"/>
      <protection/>
    </xf>
    <xf numFmtId="0" fontId="35" fillId="0" borderId="0" xfId="99" applyFont="1">
      <alignment/>
      <protection/>
    </xf>
    <xf numFmtId="0" fontId="35" fillId="0" borderId="0" xfId="99" applyFont="1" applyAlignment="1">
      <alignment horizontal="right"/>
      <protection/>
    </xf>
    <xf numFmtId="0" fontId="35" fillId="0" borderId="0" xfId="99" applyFont="1" applyAlignment="1">
      <alignment horizontal="right" wrapText="1"/>
      <protection/>
    </xf>
    <xf numFmtId="0" fontId="33" fillId="0" borderId="0" xfId="99" applyFont="1" applyBorder="1" applyAlignment="1">
      <alignment horizontal="center" vertical="center" wrapText="1"/>
      <protection/>
    </xf>
    <xf numFmtId="0" fontId="33" fillId="0" borderId="0" xfId="99" applyFont="1">
      <alignment/>
      <protection/>
    </xf>
    <xf numFmtId="0" fontId="33" fillId="0" borderId="0" xfId="99" applyFont="1" applyBorder="1" applyAlignment="1">
      <alignment horizontal="center" vertical="center"/>
      <protection/>
    </xf>
    <xf numFmtId="0" fontId="33" fillId="0" borderId="0" xfId="99" applyFont="1" applyAlignment="1">
      <alignment horizontal="center" vertical="center"/>
      <protection/>
    </xf>
    <xf numFmtId="0" fontId="19" fillId="0" borderId="0" xfId="99" applyFont="1">
      <alignment/>
      <protection/>
    </xf>
    <xf numFmtId="0" fontId="19" fillId="0" borderId="0" xfId="99" applyFont="1" applyAlignment="1">
      <alignment horizontal="right" wrapText="1"/>
      <protection/>
    </xf>
    <xf numFmtId="0" fontId="0" fillId="0" borderId="0" xfId="99" applyAlignment="1">
      <alignment/>
      <protection/>
    </xf>
    <xf numFmtId="0" fontId="19" fillId="0" borderId="0" xfId="99" applyFont="1" applyBorder="1" applyAlignment="1">
      <alignment horizontal="center"/>
      <protection/>
    </xf>
    <xf numFmtId="0" fontId="19" fillId="0" borderId="0" xfId="99" applyFont="1" applyAlignment="1">
      <alignment horizontal="left"/>
      <protection/>
    </xf>
    <xf numFmtId="0" fontId="19" fillId="0" borderId="0" xfId="99" applyFont="1" applyAlignment="1">
      <alignment horizontal="right"/>
      <protection/>
    </xf>
    <xf numFmtId="177" fontId="35" fillId="0" borderId="0" xfId="99" applyNumberFormat="1" applyFont="1">
      <alignment/>
      <protection/>
    </xf>
    <xf numFmtId="0" fontId="35" fillId="0" borderId="0" xfId="99" applyFont="1" applyBorder="1">
      <alignment/>
      <protection/>
    </xf>
    <xf numFmtId="4" fontId="6" fillId="7" borderId="0" xfId="95" applyNumberFormat="1" applyFont="1" applyFill="1" applyBorder="1" applyAlignment="1" applyProtection="1">
      <alignment horizontal="right" vertical="center" wrapText="1"/>
      <protection/>
    </xf>
    <xf numFmtId="4" fontId="37" fillId="4" borderId="0" xfId="93" applyNumberFormat="1" applyFont="1" applyFill="1" applyBorder="1" applyAlignment="1">
      <alignment horizontal="right" vertical="top" wrapText="1"/>
      <protection/>
    </xf>
    <xf numFmtId="179" fontId="35" fillId="0" borderId="0" xfId="99" applyNumberFormat="1" applyFont="1">
      <alignment/>
      <protection/>
    </xf>
    <xf numFmtId="0" fontId="23" fillId="0" borderId="0" xfId="99" applyFont="1">
      <alignment/>
      <protection/>
    </xf>
    <xf numFmtId="180" fontId="23" fillId="0" borderId="0" xfId="99" applyNumberFormat="1" applyFont="1">
      <alignment/>
      <protection/>
    </xf>
    <xf numFmtId="0" fontId="38" fillId="0" borderId="0" xfId="99" applyFont="1">
      <alignment/>
      <protection/>
    </xf>
    <xf numFmtId="0" fontId="32" fillId="0" borderId="0" xfId="99" applyFont="1" applyAlignment="1">
      <alignment horizontal="right"/>
      <protection/>
    </xf>
    <xf numFmtId="0" fontId="35" fillId="0" borderId="0" xfId="0" applyFont="1" applyAlignment="1">
      <alignment vertical="top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6" fillId="0" borderId="0" xfId="99" applyFont="1">
      <alignment/>
      <protection/>
    </xf>
    <xf numFmtId="0" fontId="24" fillId="0" borderId="0" xfId="99" applyFont="1">
      <alignment/>
      <protection/>
    </xf>
    <xf numFmtId="0" fontId="16" fillId="0" borderId="0" xfId="99" applyFont="1" applyBorder="1" applyAlignment="1">
      <alignment horizontal="center"/>
      <protection/>
    </xf>
    <xf numFmtId="0" fontId="16" fillId="0" borderId="0" xfId="99" applyFont="1" applyAlignment="1">
      <alignment horizontal="right" wrapText="1"/>
      <protection/>
    </xf>
    <xf numFmtId="0" fontId="16" fillId="0" borderId="0" xfId="99" applyFont="1" applyAlignment="1">
      <alignment horizontal="left"/>
      <protection/>
    </xf>
    <xf numFmtId="0" fontId="16" fillId="0" borderId="0" xfId="99" applyFont="1" applyAlignment="1">
      <alignment horizontal="right"/>
      <protection/>
    </xf>
    <xf numFmtId="0" fontId="16" fillId="0" borderId="17" xfId="99" applyFont="1" applyFill="1" applyBorder="1">
      <alignment/>
      <protection/>
    </xf>
    <xf numFmtId="0" fontId="16" fillId="0" borderId="0" xfId="99" applyFont="1" applyFill="1">
      <alignment/>
      <protection/>
    </xf>
    <xf numFmtId="4" fontId="42" fillId="0" borderId="0" xfId="91" applyNumberFormat="1" applyFont="1" applyBorder="1" applyAlignment="1">
      <alignment horizontal="right" vertical="top" wrapText="1"/>
      <protection/>
    </xf>
    <xf numFmtId="0" fontId="16" fillId="0" borderId="18" xfId="99" applyFont="1" applyFill="1" applyBorder="1">
      <alignment/>
      <protection/>
    </xf>
    <xf numFmtId="0" fontId="16" fillId="0" borderId="0" xfId="99" applyFont="1" applyFill="1" applyAlignment="1">
      <alignment horizontal="center"/>
      <protection/>
    </xf>
    <xf numFmtId="0" fontId="43" fillId="0" borderId="0" xfId="99" applyFont="1" applyFill="1">
      <alignment/>
      <protection/>
    </xf>
    <xf numFmtId="0" fontId="16" fillId="0" borderId="19" xfId="99" applyFont="1" applyFill="1" applyBorder="1">
      <alignment/>
      <protection/>
    </xf>
    <xf numFmtId="0" fontId="22" fillId="0" borderId="0" xfId="99" applyFont="1">
      <alignment/>
      <protection/>
    </xf>
    <xf numFmtId="4" fontId="0" fillId="0" borderId="0" xfId="90" applyNumberFormat="1">
      <alignment/>
      <protection/>
    </xf>
    <xf numFmtId="4" fontId="0" fillId="28" borderId="0" xfId="90" applyNumberFormat="1" applyFill="1">
      <alignment/>
      <protection/>
    </xf>
    <xf numFmtId="180" fontId="35" fillId="0" borderId="0" xfId="99" applyNumberFormat="1" applyFont="1">
      <alignment/>
      <protection/>
    </xf>
    <xf numFmtId="2" fontId="6" fillId="0" borderId="0" xfId="100" applyNumberFormat="1" applyFill="1" applyBorder="1" applyAlignment="1">
      <alignment horizontal="center" vertical="center" wrapText="1"/>
      <protection/>
    </xf>
    <xf numFmtId="176" fontId="6" fillId="0" borderId="0" xfId="100" applyNumberFormat="1" applyFill="1" applyBorder="1" applyAlignment="1">
      <alignment horizontal="center" vertical="center" wrapText="1"/>
      <protection/>
    </xf>
    <xf numFmtId="176" fontId="6" fillId="0" borderId="0" xfId="100" applyNumberFormat="1" applyFont="1" applyFill="1" applyBorder="1" applyAlignment="1">
      <alignment horizontal="center" vertical="center" wrapText="1"/>
      <protection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49" fontId="17" fillId="0" borderId="20" xfId="100" applyFont="1" applyFill="1" applyBorder="1" applyAlignment="1">
      <alignment horizontal="left" vertical="center" wrapText="1"/>
      <protection/>
    </xf>
    <xf numFmtId="0" fontId="35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48" fillId="0" borderId="0" xfId="100" applyFont="1" applyAlignment="1">
      <alignment horizontal="center" vertical="center"/>
      <protection/>
    </xf>
    <xf numFmtId="49" fontId="29" fillId="0" borderId="0" xfId="100" applyFont="1" applyFill="1" applyBorder="1" applyAlignment="1">
      <alignment horizontal="center" vertical="center" wrapText="1"/>
      <protection/>
    </xf>
    <xf numFmtId="0" fontId="18" fillId="0" borderId="0" xfId="97" applyFont="1" applyFill="1" applyBorder="1" applyAlignment="1">
      <alignment horizontal="right" vertical="center" wrapText="1"/>
      <protection/>
    </xf>
    <xf numFmtId="175" fontId="16" fillId="0" borderId="15" xfId="100" applyNumberFormat="1" applyFont="1" applyFill="1" applyBorder="1" applyAlignment="1">
      <alignment horizontal="center" vertical="center" wrapText="1"/>
      <protection/>
    </xf>
    <xf numFmtId="2" fontId="16" fillId="0" borderId="20" xfId="100" applyNumberFormat="1" applyFont="1" applyFill="1" applyBorder="1" applyAlignment="1">
      <alignment horizontal="center" vertical="center" wrapText="1"/>
      <protection/>
    </xf>
    <xf numFmtId="175" fontId="16" fillId="0" borderId="16" xfId="100" applyNumberFormat="1" applyFont="1" applyFill="1" applyBorder="1" applyAlignment="1">
      <alignment horizontal="center" vertical="center" wrapText="1"/>
      <protection/>
    </xf>
    <xf numFmtId="175" fontId="16" fillId="0" borderId="21" xfId="100" applyNumberFormat="1" applyFont="1" applyFill="1" applyBorder="1" applyAlignment="1">
      <alignment horizontal="center" vertical="center" wrapText="1"/>
      <protection/>
    </xf>
    <xf numFmtId="176" fontId="6" fillId="0" borderId="0" xfId="100" applyNumberFormat="1" applyFill="1" applyAlignment="1">
      <alignment horizontal="center" vertical="center" wrapText="1"/>
      <protection/>
    </xf>
    <xf numFmtId="0" fontId="35" fillId="0" borderId="0" xfId="94" applyFont="1">
      <alignment/>
      <protection/>
    </xf>
    <xf numFmtId="0" fontId="35" fillId="0" borderId="0" xfId="94" applyFont="1" applyAlignment="1">
      <alignment horizontal="right"/>
      <protection/>
    </xf>
    <xf numFmtId="0" fontId="35" fillId="0" borderId="0" xfId="94" applyFont="1" applyAlignment="1">
      <alignment horizontal="right" wrapText="1"/>
      <protection/>
    </xf>
    <xf numFmtId="0" fontId="29" fillId="0" borderId="0" xfId="94" applyFont="1">
      <alignment/>
      <protection/>
    </xf>
    <xf numFmtId="0" fontId="29" fillId="0" borderId="0" xfId="94" applyFont="1" applyAlignment="1">
      <alignment horizontal="right" wrapText="1"/>
      <protection/>
    </xf>
    <xf numFmtId="0" fontId="29" fillId="0" borderId="0" xfId="94" applyFont="1" applyAlignment="1">
      <alignment horizontal="right"/>
      <protection/>
    </xf>
    <xf numFmtId="0" fontId="33" fillId="0" borderId="0" xfId="94" applyFont="1" applyAlignment="1">
      <alignment horizontal="center" wrapText="1"/>
      <protection/>
    </xf>
    <xf numFmtId="0" fontId="33" fillId="0" borderId="0" xfId="94" applyFont="1" applyAlignment="1">
      <alignment horizontal="center"/>
      <protection/>
    </xf>
    <xf numFmtId="0" fontId="33" fillId="0" borderId="0" xfId="94" applyFont="1">
      <alignment/>
      <protection/>
    </xf>
    <xf numFmtId="0" fontId="24" fillId="0" borderId="0" xfId="94" applyFont="1" applyAlignment="1">
      <alignment horizontal="center"/>
      <protection/>
    </xf>
    <xf numFmtId="0" fontId="16" fillId="0" borderId="0" xfId="94" applyFont="1" applyAlignment="1">
      <alignment horizontal="right"/>
      <protection/>
    </xf>
    <xf numFmtId="0" fontId="24" fillId="0" borderId="0" xfId="94" applyFont="1">
      <alignment/>
      <protection/>
    </xf>
    <xf numFmtId="0" fontId="16" fillId="0" borderId="0" xfId="94" applyFont="1">
      <alignment/>
      <protection/>
    </xf>
    <xf numFmtId="0" fontId="16" fillId="0" borderId="0" xfId="94" applyFont="1" applyAlignment="1">
      <alignment horizontal="left"/>
      <protection/>
    </xf>
    <xf numFmtId="49" fontId="30" fillId="29" borderId="0" xfId="100" applyFont="1" applyFill="1" applyAlignment="1">
      <alignment horizontal="center" vertical="center" wrapText="1"/>
      <protection/>
    </xf>
    <xf numFmtId="0" fontId="16" fillId="0" borderId="0" xfId="94" applyFont="1" applyAlignment="1">
      <alignment/>
      <protection/>
    </xf>
    <xf numFmtId="0" fontId="35" fillId="0" borderId="0" xfId="94" applyFont="1" applyBorder="1">
      <alignment/>
      <protection/>
    </xf>
    <xf numFmtId="0" fontId="16" fillId="0" borderId="15" xfId="99" applyFont="1" applyFill="1" applyBorder="1">
      <alignment/>
      <protection/>
    </xf>
    <xf numFmtId="4" fontId="47" fillId="0" borderId="0" xfId="96" applyNumberFormat="1" applyFont="1" applyFill="1" applyBorder="1" applyAlignment="1">
      <alignment horizontal="right" vertical="top" wrapText="1"/>
      <protection/>
    </xf>
    <xf numFmtId="0" fontId="16" fillId="0" borderId="0" xfId="99" applyFont="1" applyFill="1" applyBorder="1">
      <alignment/>
      <protection/>
    </xf>
    <xf numFmtId="4" fontId="0" fillId="0" borderId="0" xfId="90" applyNumberFormat="1" applyBorder="1">
      <alignment/>
      <protection/>
    </xf>
    <xf numFmtId="0" fontId="16" fillId="0" borderId="0" xfId="99" applyFont="1" applyFill="1" applyBorder="1" applyAlignment="1">
      <alignment horizontal="center"/>
      <protection/>
    </xf>
    <xf numFmtId="4" fontId="42" fillId="0" borderId="0" xfId="96" applyNumberFormat="1" applyFont="1" applyBorder="1" applyAlignment="1">
      <alignment horizontal="right" vertical="top" wrapText="1"/>
      <protection/>
    </xf>
    <xf numFmtId="0" fontId="0" fillId="0" borderId="22" xfId="94" applyBorder="1" applyAlignment="1">
      <alignment/>
      <protection/>
    </xf>
    <xf numFmtId="0" fontId="23" fillId="0" borderId="0" xfId="94" applyFont="1">
      <alignment/>
      <protection/>
    </xf>
    <xf numFmtId="0" fontId="23" fillId="0" borderId="0" xfId="94" applyFont="1" applyAlignment="1">
      <alignment/>
      <protection/>
    </xf>
    <xf numFmtId="0" fontId="35" fillId="0" borderId="0" xfId="94" applyFont="1" applyAlignment="1">
      <alignment/>
      <protection/>
    </xf>
    <xf numFmtId="0" fontId="23" fillId="0" borderId="0" xfId="94" applyFont="1" applyAlignment="1">
      <alignment wrapText="1"/>
      <protection/>
    </xf>
    <xf numFmtId="0" fontId="35" fillId="0" borderId="0" xfId="94" applyFont="1" applyBorder="1" applyAlignment="1">
      <alignment/>
      <protection/>
    </xf>
    <xf numFmtId="4" fontId="0" fillId="28" borderId="0" xfId="90" applyNumberFormat="1" applyFill="1" applyBorder="1">
      <alignment/>
      <protection/>
    </xf>
    <xf numFmtId="0" fontId="16" fillId="0" borderId="20" xfId="99" applyFont="1" applyFill="1" applyBorder="1">
      <alignment/>
      <protection/>
    </xf>
    <xf numFmtId="4" fontId="49" fillId="30" borderId="0" xfId="92" applyNumberFormat="1" applyFont="1" applyFill="1" applyBorder="1" applyAlignment="1">
      <alignment horizontal="right" vertical="top" wrapText="1"/>
      <protection/>
    </xf>
    <xf numFmtId="49" fontId="27" fillId="0" borderId="0" xfId="100" applyFont="1" applyFill="1" applyBorder="1" applyAlignment="1">
      <alignment horizontal="center" vertical="center" wrapText="1"/>
      <protection/>
    </xf>
    <xf numFmtId="49" fontId="29" fillId="0" borderId="0" xfId="100" applyFont="1" applyFill="1" applyBorder="1" applyAlignment="1">
      <alignment horizontal="center" vertical="center" wrapText="1"/>
      <protection/>
    </xf>
    <xf numFmtId="49" fontId="24" fillId="0" borderId="13" xfId="100" applyFont="1" applyFill="1" applyBorder="1" applyAlignment="1">
      <alignment horizontal="center" vertical="center" wrapText="1"/>
      <protection/>
    </xf>
    <xf numFmtId="49" fontId="24" fillId="0" borderId="13" xfId="100" applyFont="1" applyFill="1" applyBorder="1" applyAlignment="1">
      <alignment horizontal="center" vertical="center" wrapText="1"/>
      <protection/>
    </xf>
    <xf numFmtId="49" fontId="23" fillId="0" borderId="13" xfId="100" applyFont="1" applyFill="1" applyBorder="1" applyAlignment="1">
      <alignment horizontal="center" vertical="center" wrapText="1"/>
      <protection/>
    </xf>
    <xf numFmtId="49" fontId="22" fillId="0" borderId="13" xfId="100" applyFont="1" applyFill="1" applyBorder="1" applyAlignment="1">
      <alignment horizontal="center" vertical="center" wrapText="1"/>
      <protection/>
    </xf>
    <xf numFmtId="49" fontId="19" fillId="0" borderId="12" xfId="100" applyNumberFormat="1" applyFont="1" applyFill="1" applyBorder="1" applyAlignment="1">
      <alignment horizontal="left"/>
      <protection/>
    </xf>
    <xf numFmtId="49" fontId="21" fillId="0" borderId="0" xfId="100" applyFont="1" applyFill="1" applyBorder="1" applyAlignment="1">
      <alignment horizontal="center" vertical="center" wrapText="1"/>
      <protection/>
    </xf>
    <xf numFmtId="49" fontId="16" fillId="0" borderId="0" xfId="100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right" vertical="center" wrapText="1"/>
    </xf>
    <xf numFmtId="49" fontId="19" fillId="0" borderId="0" xfId="100" applyNumberFormat="1" applyFont="1" applyFill="1" applyBorder="1" applyAlignment="1">
      <alignment horizontal="center"/>
      <protection/>
    </xf>
    <xf numFmtId="49" fontId="19" fillId="0" borderId="0" xfId="100" applyFont="1" applyFill="1" applyBorder="1" applyAlignment="1">
      <alignment horizontal="left"/>
      <protection/>
    </xf>
    <xf numFmtId="49" fontId="19" fillId="0" borderId="0" xfId="100" applyFont="1" applyFill="1" applyBorder="1" applyAlignment="1">
      <alignment horizontal="right"/>
      <protection/>
    </xf>
    <xf numFmtId="49" fontId="22" fillId="0" borderId="13" xfId="100" applyFont="1" applyBorder="1" applyAlignment="1">
      <alignment horizontal="center" vertical="center" wrapText="1"/>
      <protection/>
    </xf>
    <xf numFmtId="49" fontId="17" fillId="0" borderId="13" xfId="100" applyFont="1" applyBorder="1" applyAlignment="1">
      <alignment horizontal="center" vertical="center" wrapText="1"/>
      <protection/>
    </xf>
    <xf numFmtId="49" fontId="17" fillId="0" borderId="13" xfId="100" applyFont="1" applyFill="1" applyBorder="1" applyAlignment="1">
      <alignment horizontal="center" vertical="center" wrapText="1"/>
      <protection/>
    </xf>
    <xf numFmtId="49" fontId="33" fillId="0" borderId="0" xfId="100" applyFont="1" applyBorder="1" applyAlignment="1">
      <alignment horizontal="center" vertical="center"/>
      <protection/>
    </xf>
    <xf numFmtId="49" fontId="33" fillId="0" borderId="13" xfId="100" applyFont="1" applyBorder="1" applyAlignment="1">
      <alignment horizontal="center" vertical="center" wrapText="1"/>
      <protection/>
    </xf>
    <xf numFmtId="49" fontId="22" fillId="0" borderId="13" xfId="100" applyFont="1" applyFill="1" applyBorder="1" applyAlignment="1">
      <alignment horizontal="center" vertical="center" wrapText="1"/>
      <protection/>
    </xf>
    <xf numFmtId="49" fontId="16" fillId="0" borderId="23" xfId="100" applyFont="1" applyBorder="1" applyAlignment="1">
      <alignment horizontal="center" vertical="center"/>
      <protection/>
    </xf>
    <xf numFmtId="49" fontId="16" fillId="0" borderId="0" xfId="100" applyFont="1" applyBorder="1" applyAlignment="1">
      <alignment horizontal="center" vertical="center"/>
      <protection/>
    </xf>
    <xf numFmtId="49" fontId="20" fillId="0" borderId="0" xfId="100" applyFont="1" applyBorder="1" applyAlignment="1">
      <alignment horizontal="right" vertical="center"/>
      <protection/>
    </xf>
    <xf numFmtId="49" fontId="16" fillId="0" borderId="0" xfId="100" applyFont="1" applyBorder="1" applyAlignment="1">
      <alignment horizontal="right" vertical="center"/>
      <protection/>
    </xf>
    <xf numFmtId="0" fontId="34" fillId="0" borderId="0" xfId="0" applyFont="1" applyBorder="1" applyAlignment="1">
      <alignment horizontal="right" vertical="center" wrapText="1"/>
    </xf>
    <xf numFmtId="49" fontId="33" fillId="0" borderId="0" xfId="100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right" vertical="center" wrapText="1"/>
    </xf>
    <xf numFmtId="177" fontId="35" fillId="0" borderId="24" xfId="99" applyNumberFormat="1" applyFont="1" applyBorder="1" applyAlignment="1">
      <alignment horizontal="left" vertical="center" wrapText="1"/>
      <protection/>
    </xf>
    <xf numFmtId="0" fontId="39" fillId="0" borderId="0" xfId="99" applyFont="1" applyBorder="1" applyAlignment="1">
      <alignment/>
      <protection/>
    </xf>
    <xf numFmtId="177" fontId="35" fillId="0" borderId="25" xfId="99" applyNumberFormat="1" applyFont="1" applyBorder="1" applyAlignment="1">
      <alignment horizontal="center" vertical="center"/>
      <protection/>
    </xf>
    <xf numFmtId="49" fontId="35" fillId="0" borderId="26" xfId="99" applyNumberFormat="1" applyFont="1" applyBorder="1" applyAlignment="1">
      <alignment horizontal="center" vertical="center"/>
      <protection/>
    </xf>
    <xf numFmtId="0" fontId="35" fillId="0" borderId="27" xfId="99" applyNumberFormat="1" applyFont="1" applyBorder="1" applyAlignment="1">
      <alignment horizontal="right" vertical="center" wrapText="1"/>
      <protection/>
    </xf>
    <xf numFmtId="177" fontId="35" fillId="0" borderId="28" xfId="99" applyNumberFormat="1" applyFont="1" applyBorder="1" applyAlignment="1">
      <alignment horizontal="center" vertical="center"/>
      <protection/>
    </xf>
    <xf numFmtId="177" fontId="35" fillId="0" borderId="13" xfId="99" applyNumberFormat="1" applyFont="1" applyBorder="1" applyAlignment="1">
      <alignment horizontal="center" vertical="center"/>
      <protection/>
    </xf>
    <xf numFmtId="0" fontId="35" fillId="0" borderId="29" xfId="99" applyFont="1" applyBorder="1" applyAlignment="1">
      <alignment horizontal="left" vertical="center" wrapText="1"/>
      <protection/>
    </xf>
    <xf numFmtId="49" fontId="35" fillId="0" borderId="30" xfId="99" applyNumberFormat="1" applyFont="1" applyBorder="1" applyAlignment="1">
      <alignment horizontal="center" vertical="center"/>
      <protection/>
    </xf>
    <xf numFmtId="0" fontId="35" fillId="0" borderId="31" xfId="99" applyNumberFormat="1" applyFont="1" applyBorder="1" applyAlignment="1">
      <alignment horizontal="right" vertical="center" wrapText="1"/>
      <protection/>
    </xf>
    <xf numFmtId="177" fontId="35" fillId="0" borderId="21" xfId="99" applyNumberFormat="1" applyFont="1" applyBorder="1" applyAlignment="1">
      <alignment horizontal="center" vertical="center"/>
      <protection/>
    </xf>
    <xf numFmtId="0" fontId="35" fillId="0" borderId="31" xfId="99" applyNumberFormat="1" applyFont="1" applyBorder="1" applyAlignment="1">
      <alignment horizontal="left" vertical="center" wrapText="1"/>
      <protection/>
    </xf>
    <xf numFmtId="177" fontId="23" fillId="0" borderId="32" xfId="99" applyNumberFormat="1" applyFont="1" applyBorder="1" applyAlignment="1">
      <alignment horizontal="center" vertical="center"/>
      <protection/>
    </xf>
    <xf numFmtId="0" fontId="23" fillId="0" borderId="33" xfId="99" applyFont="1" applyBorder="1" applyAlignment="1">
      <alignment horizontal="left" vertical="center" wrapText="1"/>
      <protection/>
    </xf>
    <xf numFmtId="0" fontId="35" fillId="0" borderId="34" xfId="99" applyFont="1" applyBorder="1" applyAlignment="1">
      <alignment horizontal="left" vertical="center" wrapText="1"/>
      <protection/>
    </xf>
    <xf numFmtId="49" fontId="23" fillId="0" borderId="35" xfId="99" applyNumberFormat="1" applyFont="1" applyBorder="1" applyAlignment="1">
      <alignment horizontal="center" vertical="center"/>
      <protection/>
    </xf>
    <xf numFmtId="0" fontId="23" fillId="0" borderId="36" xfId="99" applyNumberFormat="1" applyFont="1" applyBorder="1" applyAlignment="1">
      <alignment horizontal="left" vertical="center" wrapText="1"/>
      <protection/>
    </xf>
    <xf numFmtId="177" fontId="23" fillId="0" borderId="37" xfId="99" applyNumberFormat="1" applyFont="1" applyBorder="1" applyAlignment="1">
      <alignment horizontal="center" vertical="center"/>
      <protection/>
    </xf>
    <xf numFmtId="177" fontId="35" fillId="0" borderId="14" xfId="99" applyNumberFormat="1" applyFont="1" applyBorder="1" applyAlignment="1">
      <alignment horizontal="center" vertical="center"/>
      <protection/>
    </xf>
    <xf numFmtId="49" fontId="35" fillId="0" borderId="38" xfId="99" applyNumberFormat="1" applyFont="1" applyBorder="1" applyAlignment="1">
      <alignment horizontal="center" vertical="center"/>
      <protection/>
    </xf>
    <xf numFmtId="0" fontId="35" fillId="0" borderId="39" xfId="99" applyNumberFormat="1" applyFont="1" applyBorder="1" applyAlignment="1">
      <alignment horizontal="left" vertical="center" wrapText="1"/>
      <protection/>
    </xf>
    <xf numFmtId="177" fontId="35" fillId="0" borderId="16" xfId="99" applyNumberFormat="1" applyFont="1" applyBorder="1" applyAlignment="1">
      <alignment horizontal="center" vertical="center"/>
      <protection/>
    </xf>
    <xf numFmtId="177" fontId="35" fillId="0" borderId="32" xfId="99" applyNumberFormat="1" applyFont="1" applyBorder="1" applyAlignment="1">
      <alignment horizontal="center" vertical="center"/>
      <protection/>
    </xf>
    <xf numFmtId="0" fontId="35" fillId="0" borderId="33" xfId="99" applyFont="1" applyBorder="1" applyAlignment="1">
      <alignment horizontal="left" vertical="center" wrapText="1"/>
      <protection/>
    </xf>
    <xf numFmtId="49" fontId="35" fillId="0" borderId="35" xfId="99" applyNumberFormat="1" applyFont="1" applyBorder="1" applyAlignment="1">
      <alignment horizontal="center" vertical="center"/>
      <protection/>
    </xf>
    <xf numFmtId="0" fontId="35" fillId="0" borderId="36" xfId="99" applyNumberFormat="1" applyFont="1" applyBorder="1" applyAlignment="1">
      <alignment horizontal="left" vertical="center" wrapText="1"/>
      <protection/>
    </xf>
    <xf numFmtId="177" fontId="35" fillId="0" borderId="37" xfId="99" applyNumberFormat="1" applyFont="1" applyBorder="1" applyAlignment="1">
      <alignment horizontal="center" vertical="center"/>
      <protection/>
    </xf>
    <xf numFmtId="177" fontId="35" fillId="0" borderId="13" xfId="99" applyNumberFormat="1" applyFont="1" applyFill="1" applyBorder="1" applyAlignment="1">
      <alignment horizontal="center" vertical="center"/>
      <protection/>
    </xf>
    <xf numFmtId="177" fontId="35" fillId="0" borderId="13" xfId="98" applyNumberFormat="1" applyFont="1" applyFill="1" applyBorder="1" applyAlignment="1">
      <alignment horizontal="center" vertical="center"/>
      <protection/>
    </xf>
    <xf numFmtId="177" fontId="35" fillId="0" borderId="40" xfId="99" applyNumberFormat="1" applyFont="1" applyBorder="1" applyAlignment="1">
      <alignment horizontal="center" vertical="center"/>
      <protection/>
    </xf>
    <xf numFmtId="0" fontId="35" fillId="0" borderId="41" xfId="99" applyFont="1" applyBorder="1" applyAlignment="1">
      <alignment horizontal="left" vertical="center" wrapText="1"/>
      <protection/>
    </xf>
    <xf numFmtId="0" fontId="36" fillId="0" borderId="25" xfId="99" applyFont="1" applyBorder="1" applyAlignment="1">
      <alignment horizontal="center" vertical="center"/>
      <protection/>
    </xf>
    <xf numFmtId="49" fontId="35" fillId="0" borderId="42" xfId="99" applyNumberFormat="1" applyFont="1" applyBorder="1" applyAlignment="1">
      <alignment horizontal="center" vertical="center"/>
      <protection/>
    </xf>
    <xf numFmtId="0" fontId="35" fillId="0" borderId="43" xfId="99" applyNumberFormat="1" applyFont="1" applyBorder="1" applyAlignment="1">
      <alignment horizontal="left" vertical="center" wrapText="1"/>
      <protection/>
    </xf>
    <xf numFmtId="177" fontId="35" fillId="0" borderId="44" xfId="99" applyNumberFormat="1" applyFont="1" applyBorder="1" applyAlignment="1">
      <alignment horizontal="center" vertical="center"/>
      <protection/>
    </xf>
    <xf numFmtId="0" fontId="36" fillId="0" borderId="28" xfId="99" applyFont="1" applyBorder="1" applyAlignment="1">
      <alignment horizontal="center" vertical="center"/>
      <protection/>
    </xf>
    <xf numFmtId="0" fontId="36" fillId="0" borderId="45" xfId="99" applyFont="1" applyBorder="1" applyAlignment="1">
      <alignment horizontal="center" vertical="center" wrapText="1"/>
      <protection/>
    </xf>
    <xf numFmtId="0" fontId="36" fillId="0" borderId="46" xfId="99" applyFont="1" applyBorder="1" applyAlignment="1">
      <alignment horizontal="center" vertical="center" wrapText="1"/>
      <protection/>
    </xf>
    <xf numFmtId="0" fontId="36" fillId="0" borderId="37" xfId="99" applyFont="1" applyBorder="1" applyAlignment="1">
      <alignment horizontal="center" vertical="center" wrapText="1"/>
      <protection/>
    </xf>
    <xf numFmtId="0" fontId="36" fillId="0" borderId="47" xfId="99" applyFont="1" applyBorder="1" applyAlignment="1">
      <alignment horizontal="center" vertical="center" wrapText="1"/>
      <protection/>
    </xf>
    <xf numFmtId="0" fontId="36" fillId="0" borderId="21" xfId="99" applyFont="1" applyBorder="1" applyAlignment="1">
      <alignment horizontal="center" vertical="center"/>
      <protection/>
    </xf>
    <xf numFmtId="0" fontId="36" fillId="0" borderId="13" xfId="99" applyFont="1" applyBorder="1" applyAlignment="1">
      <alignment horizontal="center" vertical="center"/>
      <protection/>
    </xf>
    <xf numFmtId="0" fontId="33" fillId="0" borderId="0" xfId="99" applyFont="1" applyBorder="1" applyAlignment="1">
      <alignment horizontal="center" vertical="center" wrapText="1"/>
      <protection/>
    </xf>
    <xf numFmtId="0" fontId="33" fillId="0" borderId="0" xfId="99" applyFont="1" applyBorder="1" applyAlignment="1">
      <alignment horizontal="center" vertical="center"/>
      <protection/>
    </xf>
    <xf numFmtId="0" fontId="17" fillId="0" borderId="0" xfId="99" applyFont="1" applyBorder="1" applyAlignment="1">
      <alignment horizontal="right" wrapText="1"/>
      <protection/>
    </xf>
    <xf numFmtId="0" fontId="19" fillId="0" borderId="12" xfId="99" applyFont="1" applyBorder="1" applyAlignment="1">
      <alignment horizontal="center"/>
      <protection/>
    </xf>
    <xf numFmtId="0" fontId="35" fillId="0" borderId="48" xfId="99" applyFont="1" applyBorder="1" applyAlignment="1">
      <alignment horizontal="center" vertical="top"/>
      <protection/>
    </xf>
    <xf numFmtId="0" fontId="19" fillId="0" borderId="0" xfId="99" applyFont="1" applyBorder="1" applyAlignment="1">
      <alignment horizontal="right"/>
      <protection/>
    </xf>
    <xf numFmtId="49" fontId="19" fillId="0" borderId="12" xfId="99" applyNumberFormat="1" applyFont="1" applyBorder="1" applyAlignment="1">
      <alignment horizontal="center"/>
      <protection/>
    </xf>
    <xf numFmtId="0" fontId="19" fillId="0" borderId="0" xfId="99" applyFont="1" applyBorder="1" applyAlignment="1">
      <alignment horizontal="left"/>
      <protection/>
    </xf>
    <xf numFmtId="49" fontId="19" fillId="0" borderId="12" xfId="99" applyNumberFormat="1" applyFont="1" applyBorder="1" applyAlignment="1">
      <alignment horizontal="left"/>
      <protection/>
    </xf>
    <xf numFmtId="0" fontId="3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35" fillId="0" borderId="0" xfId="99" applyFont="1" applyBorder="1" applyAlignment="1">
      <alignment horizontal="right"/>
      <protection/>
    </xf>
    <xf numFmtId="0" fontId="44" fillId="9" borderId="40" xfId="99" applyFont="1" applyFill="1" applyBorder="1" applyAlignment="1">
      <alignment horizontal="center" vertical="center"/>
      <protection/>
    </xf>
    <xf numFmtId="0" fontId="16" fillId="0" borderId="21" xfId="99" applyFont="1" applyFill="1" applyBorder="1" applyAlignment="1">
      <alignment horizontal="left" vertical="center"/>
      <protection/>
    </xf>
    <xf numFmtId="0" fontId="16" fillId="0" borderId="13" xfId="99" applyFont="1" applyFill="1" applyBorder="1" applyAlignment="1">
      <alignment horizontal="center" vertical="center" wrapText="1"/>
      <protection/>
    </xf>
    <xf numFmtId="0" fontId="16" fillId="0" borderId="17" xfId="99" applyFont="1" applyFill="1" applyBorder="1" applyAlignment="1">
      <alignment horizontal="left" vertical="center"/>
      <protection/>
    </xf>
    <xf numFmtId="0" fontId="16" fillId="0" borderId="19" xfId="99" applyFont="1" applyFill="1" applyBorder="1" applyAlignment="1">
      <alignment horizontal="left" vertical="center"/>
      <protection/>
    </xf>
    <xf numFmtId="0" fontId="16" fillId="0" borderId="20" xfId="99" applyFont="1" applyFill="1" applyBorder="1" applyAlignment="1">
      <alignment horizontal="left" vertical="center" wrapText="1"/>
      <protection/>
    </xf>
    <xf numFmtId="3" fontId="16" fillId="0" borderId="20" xfId="99" applyNumberFormat="1" applyFont="1" applyFill="1" applyBorder="1" applyAlignment="1">
      <alignment horizontal="center" vertical="center"/>
      <protection/>
    </xf>
    <xf numFmtId="0" fontId="16" fillId="0" borderId="20" xfId="99" applyFont="1" applyFill="1" applyBorder="1" applyAlignment="1">
      <alignment horizontal="center" vertical="center" wrapText="1"/>
      <protection/>
    </xf>
    <xf numFmtId="0" fontId="16" fillId="0" borderId="20" xfId="99" applyFont="1" applyFill="1" applyBorder="1" applyAlignment="1">
      <alignment horizontal="left" vertical="center"/>
      <protection/>
    </xf>
    <xf numFmtId="9" fontId="16" fillId="0" borderId="20" xfId="99" applyNumberFormat="1" applyFont="1" applyFill="1" applyBorder="1" applyAlignment="1">
      <alignment horizontal="center" vertical="center"/>
      <protection/>
    </xf>
    <xf numFmtId="0" fontId="16" fillId="0" borderId="20" xfId="99" applyFont="1" applyFill="1" applyBorder="1" applyAlignment="1">
      <alignment horizontal="center" vertical="center"/>
      <protection/>
    </xf>
    <xf numFmtId="0" fontId="44" fillId="9" borderId="20" xfId="99" applyFont="1" applyFill="1" applyBorder="1" applyAlignment="1">
      <alignment horizontal="center" vertical="center"/>
      <protection/>
    </xf>
    <xf numFmtId="0" fontId="43" fillId="0" borderId="20" xfId="99" applyFont="1" applyFill="1" applyBorder="1" applyAlignment="1">
      <alignment horizontal="left" vertical="center"/>
      <protection/>
    </xf>
    <xf numFmtId="3" fontId="43" fillId="0" borderId="20" xfId="99" applyNumberFormat="1" applyFont="1" applyFill="1" applyBorder="1" applyAlignment="1">
      <alignment horizontal="center" vertical="center"/>
      <protection/>
    </xf>
    <xf numFmtId="0" fontId="16" fillId="0" borderId="16" xfId="99" applyFont="1" applyFill="1" applyBorder="1" applyAlignment="1">
      <alignment horizontal="left" vertical="center"/>
      <protection/>
    </xf>
    <xf numFmtId="3" fontId="16" fillId="0" borderId="15" xfId="99" applyNumberFormat="1" applyFont="1" applyFill="1" applyBorder="1" applyAlignment="1">
      <alignment horizontal="center" vertical="center"/>
      <protection/>
    </xf>
    <xf numFmtId="3" fontId="16" fillId="0" borderId="14" xfId="99" applyNumberFormat="1" applyFont="1" applyFill="1" applyBorder="1" applyAlignment="1">
      <alignment horizontal="center" vertical="center"/>
      <protection/>
    </xf>
    <xf numFmtId="0" fontId="24" fillId="9" borderId="13" xfId="99" applyFont="1" applyFill="1" applyBorder="1" applyAlignment="1">
      <alignment horizontal="center" vertical="center"/>
      <protection/>
    </xf>
    <xf numFmtId="0" fontId="24" fillId="9" borderId="13" xfId="99" applyFont="1" applyFill="1" applyBorder="1" applyAlignment="1">
      <alignment horizontal="center" vertical="center" wrapText="1"/>
      <protection/>
    </xf>
    <xf numFmtId="0" fontId="24" fillId="9" borderId="14" xfId="99" applyFont="1" applyFill="1" applyBorder="1" applyAlignment="1">
      <alignment horizontal="center" vertical="center"/>
      <protection/>
    </xf>
    <xf numFmtId="0" fontId="16" fillId="0" borderId="0" xfId="99" applyFont="1" applyBorder="1" applyAlignment="1">
      <alignment horizontal="right"/>
      <protection/>
    </xf>
    <xf numFmtId="49" fontId="16" fillId="0" borderId="12" xfId="99" applyNumberFormat="1" applyFont="1" applyBorder="1" applyAlignment="1">
      <alignment horizontal="left"/>
      <protection/>
    </xf>
    <xf numFmtId="0" fontId="24" fillId="0" borderId="13" xfId="99" applyFont="1" applyBorder="1" applyAlignment="1">
      <alignment horizontal="center" vertical="center"/>
      <protection/>
    </xf>
    <xf numFmtId="49" fontId="16" fillId="0" borderId="12" xfId="99" applyNumberFormat="1" applyFont="1" applyBorder="1" applyAlignment="1">
      <alignment horizontal="center"/>
      <protection/>
    </xf>
    <xf numFmtId="0" fontId="16" fillId="0" borderId="0" xfId="99" applyFont="1" applyBorder="1" applyAlignment="1">
      <alignment horizontal="left"/>
      <protection/>
    </xf>
    <xf numFmtId="0" fontId="35" fillId="0" borderId="0" xfId="99" applyFont="1" applyBorder="1" applyAlignment="1">
      <alignment horizontal="right" wrapText="1"/>
      <protection/>
    </xf>
    <xf numFmtId="0" fontId="24" fillId="0" borderId="0" xfId="99" applyFont="1" applyBorder="1">
      <alignment/>
      <protection/>
    </xf>
    <xf numFmtId="49" fontId="24" fillId="0" borderId="12" xfId="99" applyNumberFormat="1" applyFont="1" applyBorder="1" applyAlignment="1">
      <alignment horizontal="center"/>
      <protection/>
    </xf>
    <xf numFmtId="0" fontId="24" fillId="0" borderId="0" xfId="99" applyFont="1" applyBorder="1" applyAlignment="1">
      <alignment horizontal="center"/>
      <protection/>
    </xf>
    <xf numFmtId="0" fontId="24" fillId="0" borderId="0" xfId="99" applyFont="1" applyBorder="1" applyAlignment="1">
      <alignment horizontal="right"/>
      <protection/>
    </xf>
    <xf numFmtId="0" fontId="16" fillId="0" borderId="0" xfId="99" applyFont="1" applyBorder="1" applyAlignment="1">
      <alignment horizontal="center"/>
      <protection/>
    </xf>
    <xf numFmtId="0" fontId="16" fillId="0" borderId="12" xfId="99" applyFont="1" applyBorder="1" applyAlignment="1">
      <alignment horizontal="center"/>
      <protection/>
    </xf>
    <xf numFmtId="0" fontId="35" fillId="0" borderId="0" xfId="94" applyFont="1" applyFill="1" applyBorder="1" applyAlignment="1">
      <alignment horizontal="center"/>
      <protection/>
    </xf>
    <xf numFmtId="0" fontId="35" fillId="0" borderId="0" xfId="94" applyNumberFormat="1" applyFont="1" applyFill="1" applyBorder="1" applyAlignment="1">
      <alignment horizontal="center"/>
      <protection/>
    </xf>
    <xf numFmtId="0" fontId="16" fillId="0" borderId="0" xfId="94" applyFont="1" applyFill="1" applyBorder="1" applyAlignment="1">
      <alignment horizontal="left" wrapText="1"/>
      <protection/>
    </xf>
    <xf numFmtId="0" fontId="16" fillId="0" borderId="22" xfId="94" applyFont="1" applyFill="1" applyBorder="1" applyAlignment="1">
      <alignment horizontal="center"/>
      <protection/>
    </xf>
    <xf numFmtId="0" fontId="16" fillId="0" borderId="0" xfId="94" applyFont="1" applyFill="1" applyBorder="1" applyAlignment="1">
      <alignment horizontal="center"/>
      <protection/>
    </xf>
    <xf numFmtId="0" fontId="35" fillId="0" borderId="0" xfId="94" applyFont="1" applyFill="1" applyBorder="1" applyAlignment="1">
      <alignment horizontal="left" wrapText="1"/>
      <protection/>
    </xf>
    <xf numFmtId="0" fontId="35" fillId="0" borderId="20" xfId="94" applyFont="1" applyFill="1" applyBorder="1" applyAlignment="1">
      <alignment horizontal="center" vertical="center" wrapText="1"/>
      <protection/>
    </xf>
    <xf numFmtId="0" fontId="35" fillId="0" borderId="20" xfId="94" applyNumberFormat="1" applyFont="1" applyFill="1" applyBorder="1" applyAlignment="1">
      <alignment horizontal="center" vertical="center" wrapText="1"/>
      <protection/>
    </xf>
    <xf numFmtId="0" fontId="23" fillId="0" borderId="20" xfId="94" applyFont="1" applyBorder="1" applyAlignment="1">
      <alignment horizontal="center" vertical="center" wrapText="1"/>
      <protection/>
    </xf>
    <xf numFmtId="0" fontId="23" fillId="0" borderId="20" xfId="94" applyFont="1" applyBorder="1" applyAlignment="1">
      <alignment horizontal="center" vertical="center"/>
      <protection/>
    </xf>
    <xf numFmtId="0" fontId="29" fillId="0" borderId="0" xfId="94" applyFont="1" applyAlignment="1">
      <alignment horizontal="center" wrapText="1"/>
      <protection/>
    </xf>
    <xf numFmtId="0" fontId="35" fillId="0" borderId="0" xfId="94" applyFont="1" applyBorder="1" applyAlignment="1">
      <alignment horizontal="center" vertical="top"/>
      <protection/>
    </xf>
    <xf numFmtId="0" fontId="16" fillId="0" borderId="0" xfId="94" applyFont="1" applyAlignment="1">
      <alignment horizontal="right"/>
      <protection/>
    </xf>
    <xf numFmtId="49" fontId="16" fillId="0" borderId="22" xfId="94" applyNumberFormat="1" applyFont="1" applyFill="1" applyBorder="1" applyAlignment="1">
      <alignment horizontal="center"/>
      <protection/>
    </xf>
    <xf numFmtId="0" fontId="16" fillId="0" borderId="0" xfId="94" applyFont="1" applyAlignment="1">
      <alignment horizontal="left"/>
      <protection/>
    </xf>
    <xf numFmtId="0" fontId="16" fillId="0" borderId="0" xfId="94" applyFont="1" applyAlignment="1">
      <alignment horizontal="right" wrapText="1"/>
      <protection/>
    </xf>
    <xf numFmtId="0" fontId="0" fillId="0" borderId="0" xfId="94" applyAlignment="1">
      <alignment/>
      <protection/>
    </xf>
    <xf numFmtId="0" fontId="18" fillId="0" borderId="0" xfId="97" applyFont="1" applyFill="1" applyBorder="1" applyAlignment="1">
      <alignment horizontal="right" vertical="center" wrapText="1"/>
      <protection/>
    </xf>
    <xf numFmtId="0" fontId="16" fillId="0" borderId="49" xfId="94" applyFont="1" applyFill="1" applyBorder="1" applyAlignment="1">
      <alignment horizontal="left" vertical="center" wrapText="1"/>
      <protection/>
    </xf>
    <xf numFmtId="0" fontId="16" fillId="0" borderId="50" xfId="94" applyFont="1" applyFill="1" applyBorder="1" applyAlignment="1">
      <alignment horizontal="left" vertical="center" wrapText="1"/>
      <protection/>
    </xf>
    <xf numFmtId="0" fontId="16" fillId="0" borderId="20" xfId="94" applyFont="1" applyFill="1" applyBorder="1" applyAlignment="1">
      <alignment horizontal="left" vertical="center" wrapText="1"/>
      <protection/>
    </xf>
    <xf numFmtId="0" fontId="16" fillId="0" borderId="51" xfId="94" applyFont="1" applyFill="1" applyBorder="1" applyAlignment="1">
      <alignment horizontal="left" vertical="center" wrapText="1"/>
      <protection/>
    </xf>
    <xf numFmtId="0" fontId="16" fillId="0" borderId="52" xfId="94" applyFont="1" applyFill="1" applyBorder="1" applyAlignment="1">
      <alignment horizontal="left" vertical="center" wrapText="1"/>
      <protection/>
    </xf>
    <xf numFmtId="0" fontId="16" fillId="0" borderId="53" xfId="94" applyFont="1" applyFill="1" applyBorder="1" applyAlignment="1">
      <alignment horizontal="left" vertical="center" wrapText="1"/>
      <protection/>
    </xf>
    <xf numFmtId="0" fontId="16" fillId="0" borderId="54" xfId="94" applyFont="1" applyFill="1" applyBorder="1" applyAlignment="1">
      <alignment horizontal="left" vertical="center" wrapText="1"/>
      <protection/>
    </xf>
    <xf numFmtId="0" fontId="16" fillId="0" borderId="55" xfId="94" applyFont="1" applyFill="1" applyBorder="1" applyAlignment="1">
      <alignment horizontal="left" vertical="center" wrapText="1"/>
      <protection/>
    </xf>
    <xf numFmtId="0" fontId="24" fillId="0" borderId="54" xfId="94" applyFont="1" applyFill="1" applyBorder="1" applyAlignment="1">
      <alignment horizontal="left" vertical="center" wrapText="1"/>
      <protection/>
    </xf>
    <xf numFmtId="0" fontId="24" fillId="0" borderId="55" xfId="94" applyFont="1" applyFill="1" applyBorder="1" applyAlignment="1">
      <alignment horizontal="left" vertical="center" wrapText="1"/>
      <protection/>
    </xf>
    <xf numFmtId="0" fontId="16" fillId="0" borderId="20" xfId="94" applyFont="1" applyBorder="1" applyAlignment="1">
      <alignment horizontal="left" vertical="center" wrapText="1"/>
      <protection/>
    </xf>
    <xf numFmtId="49" fontId="16" fillId="0" borderId="56" xfId="94" applyNumberFormat="1" applyFont="1" applyBorder="1" applyAlignment="1">
      <alignment horizontal="center" vertical="center"/>
      <protection/>
    </xf>
    <xf numFmtId="49" fontId="16" fillId="0" borderId="20" xfId="94" applyNumberFormat="1" applyFont="1" applyBorder="1" applyAlignment="1">
      <alignment horizontal="center" vertical="center"/>
      <protection/>
    </xf>
    <xf numFmtId="49" fontId="16" fillId="0" borderId="57" xfId="94" applyNumberFormat="1" applyFont="1" applyBorder="1" applyAlignment="1">
      <alignment horizontal="center" vertical="center"/>
      <protection/>
    </xf>
    <xf numFmtId="49" fontId="16" fillId="0" borderId="52" xfId="94" applyNumberFormat="1" applyFont="1" applyBorder="1" applyAlignment="1">
      <alignment horizontal="center" vertical="center"/>
      <protection/>
    </xf>
    <xf numFmtId="0" fontId="16" fillId="0" borderId="20" xfId="94" applyFont="1" applyFill="1" applyBorder="1" applyAlignment="1">
      <alignment horizontal="center" vertical="center"/>
      <protection/>
    </xf>
    <xf numFmtId="49" fontId="24" fillId="0" borderId="58" xfId="94" applyNumberFormat="1" applyFont="1" applyBorder="1" applyAlignment="1">
      <alignment horizontal="center" vertical="center"/>
      <protection/>
    </xf>
    <xf numFmtId="49" fontId="24" fillId="0" borderId="54" xfId="94" applyNumberFormat="1" applyFont="1" applyBorder="1" applyAlignment="1">
      <alignment horizontal="center" vertical="center"/>
      <protection/>
    </xf>
    <xf numFmtId="0" fontId="16" fillId="0" borderId="52" xfId="94" applyFont="1" applyBorder="1" applyAlignment="1">
      <alignment horizontal="right" vertical="center"/>
      <protection/>
    </xf>
    <xf numFmtId="0" fontId="16" fillId="0" borderId="52" xfId="94" applyFont="1" applyFill="1" applyBorder="1" applyAlignment="1">
      <alignment horizontal="center" vertical="center"/>
      <protection/>
    </xf>
    <xf numFmtId="0" fontId="16" fillId="0" borderId="20" xfId="94" applyFont="1" applyBorder="1" applyAlignment="1">
      <alignment horizontal="left" vertical="center"/>
      <protection/>
    </xf>
    <xf numFmtId="0" fontId="33" fillId="0" borderId="0" xfId="94" applyFont="1" applyAlignment="1">
      <alignment horizontal="center" wrapText="1"/>
      <protection/>
    </xf>
    <xf numFmtId="0" fontId="33" fillId="0" borderId="0" xfId="94" applyFont="1" applyAlignment="1">
      <alignment horizontal="center"/>
      <protection/>
    </xf>
    <xf numFmtId="0" fontId="16" fillId="0" borderId="20" xfId="94" applyFont="1" applyBorder="1" applyAlignment="1">
      <alignment horizontal="right" vertical="center"/>
      <protection/>
    </xf>
    <xf numFmtId="0" fontId="24" fillId="0" borderId="54" xfId="94" applyFont="1" applyBorder="1" applyAlignment="1">
      <alignment horizontal="left" vertical="center"/>
      <protection/>
    </xf>
    <xf numFmtId="177" fontId="24" fillId="0" borderId="54" xfId="94" applyNumberFormat="1" applyFont="1" applyFill="1" applyBorder="1" applyAlignment="1">
      <alignment horizontal="center" vertical="center"/>
      <protection/>
    </xf>
    <xf numFmtId="0" fontId="16" fillId="0" borderId="52" xfId="94" applyFont="1" applyBorder="1" applyAlignment="1">
      <alignment horizontal="left" vertical="center"/>
      <protection/>
    </xf>
    <xf numFmtId="177" fontId="16" fillId="0" borderId="52" xfId="94" applyNumberFormat="1" applyFont="1" applyFill="1" applyBorder="1" applyAlignment="1">
      <alignment horizontal="center" vertical="center"/>
      <protection/>
    </xf>
    <xf numFmtId="177" fontId="16" fillId="0" borderId="20" xfId="94" applyNumberFormat="1" applyFont="1" applyFill="1" applyBorder="1" applyAlignment="1">
      <alignment horizontal="center" vertical="center"/>
      <protection/>
    </xf>
    <xf numFmtId="49" fontId="16" fillId="0" borderId="58" xfId="94" applyNumberFormat="1" applyFont="1" applyBorder="1" applyAlignment="1">
      <alignment horizontal="center" vertical="center"/>
      <protection/>
    </xf>
    <xf numFmtId="49" fontId="16" fillId="0" borderId="54" xfId="94" applyNumberFormat="1" applyFont="1" applyBorder="1" applyAlignment="1">
      <alignment horizontal="center" vertical="center"/>
      <protection/>
    </xf>
    <xf numFmtId="0" fontId="16" fillId="0" borderId="54" xfId="94" applyFont="1" applyBorder="1" applyAlignment="1">
      <alignment horizontal="left" vertical="center"/>
      <protection/>
    </xf>
    <xf numFmtId="177" fontId="16" fillId="0" borderId="54" xfId="94" applyNumberFormat="1" applyFont="1" applyFill="1" applyBorder="1" applyAlignment="1">
      <alignment horizontal="center" vertical="center"/>
      <protection/>
    </xf>
    <xf numFmtId="0" fontId="16" fillId="0" borderId="52" xfId="94" applyFont="1" applyBorder="1" applyAlignment="1">
      <alignment horizontal="left" vertical="center" wrapText="1"/>
      <protection/>
    </xf>
    <xf numFmtId="177" fontId="16" fillId="0" borderId="59" xfId="94" applyNumberFormat="1" applyFont="1" applyFill="1" applyBorder="1" applyAlignment="1">
      <alignment horizontal="center" vertical="center"/>
      <protection/>
    </xf>
    <xf numFmtId="177" fontId="16" fillId="0" borderId="60" xfId="94" applyNumberFormat="1" applyFont="1" applyFill="1" applyBorder="1" applyAlignment="1">
      <alignment horizontal="center" vertical="center"/>
      <protection/>
    </xf>
    <xf numFmtId="177" fontId="16" fillId="0" borderId="61" xfId="94" applyNumberFormat="1" applyFont="1" applyFill="1" applyBorder="1" applyAlignment="1">
      <alignment horizontal="center" vertical="center"/>
      <protection/>
    </xf>
    <xf numFmtId="0" fontId="16" fillId="0" borderId="49" xfId="94" applyFont="1" applyBorder="1" applyAlignment="1">
      <alignment horizontal="left" vertical="center"/>
      <protection/>
    </xf>
    <xf numFmtId="49" fontId="16" fillId="0" borderId="62" xfId="94" applyNumberFormat="1" applyFont="1" applyBorder="1" applyAlignment="1">
      <alignment horizontal="center" vertical="center"/>
      <protection/>
    </xf>
    <xf numFmtId="49" fontId="16" fillId="0" borderId="49" xfId="94" applyNumberFormat="1" applyFont="1" applyBorder="1" applyAlignment="1">
      <alignment horizontal="center" vertical="center"/>
      <protection/>
    </xf>
    <xf numFmtId="177" fontId="16" fillId="0" borderId="63" xfId="94" applyNumberFormat="1" applyFont="1" applyFill="1" applyBorder="1" applyAlignment="1">
      <alignment horizontal="center" vertical="center"/>
      <protection/>
    </xf>
    <xf numFmtId="177" fontId="16" fillId="0" borderId="22" xfId="94" applyNumberFormat="1" applyFont="1" applyFill="1" applyBorder="1" applyAlignment="1">
      <alignment horizontal="center" vertical="center"/>
      <protection/>
    </xf>
    <xf numFmtId="177" fontId="16" fillId="0" borderId="64" xfId="94" applyNumberFormat="1" applyFont="1" applyFill="1" applyBorder="1" applyAlignment="1">
      <alignment horizontal="center" vertical="center"/>
      <protection/>
    </xf>
    <xf numFmtId="177" fontId="16" fillId="0" borderId="49" xfId="94" applyNumberFormat="1" applyFont="1" applyFill="1" applyBorder="1" applyAlignment="1">
      <alignment horizontal="center" vertical="center"/>
      <protection/>
    </xf>
    <xf numFmtId="0" fontId="0" fillId="0" borderId="0" xfId="94" applyFont="1" applyAlignment="1">
      <alignment/>
      <protection/>
    </xf>
    <xf numFmtId="0" fontId="24" fillId="0" borderId="65" xfId="94" applyFont="1" applyBorder="1" applyAlignment="1">
      <alignment horizontal="center" vertical="center" wrapText="1"/>
      <protection/>
    </xf>
    <xf numFmtId="0" fontId="24" fillId="0" borderId="66" xfId="94" applyFont="1" applyBorder="1" applyAlignment="1">
      <alignment horizontal="center" vertical="center"/>
      <protection/>
    </xf>
    <xf numFmtId="0" fontId="24" fillId="0" borderId="67" xfId="94" applyFont="1" applyBorder="1" applyAlignment="1">
      <alignment horizontal="center" vertical="center"/>
      <protection/>
    </xf>
    <xf numFmtId="0" fontId="24" fillId="0" borderId="68" xfId="94" applyFont="1" applyBorder="1" applyAlignment="1">
      <alignment horizontal="center" vertical="center"/>
      <protection/>
    </xf>
    <xf numFmtId="0" fontId="24" fillId="0" borderId="69" xfId="94" applyFont="1" applyBorder="1" applyAlignment="1">
      <alignment horizontal="center" vertical="center"/>
      <protection/>
    </xf>
    <xf numFmtId="0" fontId="24" fillId="0" borderId="70" xfId="94" applyFont="1" applyBorder="1" applyAlignment="1">
      <alignment horizontal="center" vertical="center"/>
      <protection/>
    </xf>
    <xf numFmtId="0" fontId="24" fillId="0" borderId="71" xfId="94" applyFont="1" applyBorder="1" applyAlignment="1">
      <alignment horizontal="center" vertical="center" wrapText="1"/>
      <protection/>
    </xf>
    <xf numFmtId="0" fontId="24" fillId="0" borderId="66" xfId="94" applyFont="1" applyBorder="1" applyAlignment="1">
      <alignment horizontal="center" vertical="center" wrapText="1"/>
      <protection/>
    </xf>
    <xf numFmtId="0" fontId="24" fillId="0" borderId="72" xfId="94" applyFont="1" applyBorder="1" applyAlignment="1">
      <alignment horizontal="center" vertical="center" wrapText="1"/>
      <protection/>
    </xf>
    <xf numFmtId="0" fontId="24" fillId="0" borderId="69" xfId="94" applyFont="1" applyBorder="1" applyAlignment="1">
      <alignment horizontal="center" vertical="center" wrapText="1"/>
      <protection/>
    </xf>
    <xf numFmtId="0" fontId="24" fillId="0" borderId="52" xfId="94" applyFont="1" applyBorder="1" applyAlignment="1">
      <alignment horizontal="center" vertical="center"/>
      <protection/>
    </xf>
    <xf numFmtId="49" fontId="16" fillId="0" borderId="22" xfId="94" applyNumberFormat="1" applyFont="1" applyFill="1" applyBorder="1" applyAlignment="1">
      <alignment horizontal="left"/>
      <protection/>
    </xf>
    <xf numFmtId="0" fontId="24" fillId="0" borderId="71" xfId="94" applyFont="1" applyBorder="1" applyAlignment="1">
      <alignment horizontal="center" vertical="center"/>
      <protection/>
    </xf>
    <xf numFmtId="0" fontId="24" fillId="0" borderId="73" xfId="94" applyFont="1" applyBorder="1" applyAlignment="1">
      <alignment horizontal="center" vertical="center"/>
      <protection/>
    </xf>
    <xf numFmtId="0" fontId="24" fillId="0" borderId="72" xfId="94" applyFont="1" applyBorder="1" applyAlignment="1">
      <alignment horizontal="center" vertical="center"/>
      <protection/>
    </xf>
    <xf numFmtId="0" fontId="24" fillId="0" borderId="74" xfId="94" applyFont="1" applyBorder="1" applyAlignment="1">
      <alignment horizontal="center" vertical="center"/>
      <protection/>
    </xf>
    <xf numFmtId="0" fontId="24" fillId="0" borderId="75" xfId="94" applyFont="1" applyBorder="1" applyAlignment="1">
      <alignment horizontal="center" vertical="center" wrapText="1"/>
      <protection/>
    </xf>
    <xf numFmtId="0" fontId="24" fillId="0" borderId="76" xfId="94" applyFont="1" applyBorder="1" applyAlignment="1">
      <alignment horizontal="center" vertical="center" wrapText="1"/>
      <protection/>
    </xf>
    <xf numFmtId="0" fontId="24" fillId="0" borderId="77" xfId="94" applyFont="1" applyBorder="1" applyAlignment="1">
      <alignment horizontal="center" vertical="center" wrapText="1"/>
      <protection/>
    </xf>
    <xf numFmtId="0" fontId="16" fillId="0" borderId="52" xfId="94" applyFont="1" applyBorder="1" applyAlignment="1">
      <alignment horizontal="center" vertical="center"/>
      <protection/>
    </xf>
    <xf numFmtId="0" fontId="16" fillId="0" borderId="53" xfId="94" applyFont="1" applyBorder="1" applyAlignment="1">
      <alignment horizontal="center" vertical="center"/>
      <protection/>
    </xf>
    <xf numFmtId="49" fontId="16" fillId="0" borderId="22" xfId="94" applyNumberFormat="1" applyFont="1" applyBorder="1" applyAlignment="1">
      <alignment horizontal="left"/>
      <protection/>
    </xf>
    <xf numFmtId="49" fontId="16" fillId="0" borderId="22" xfId="94" applyNumberFormat="1" applyFont="1" applyBorder="1" applyAlignment="1">
      <alignment horizontal="center"/>
      <protection/>
    </xf>
    <xf numFmtId="0" fontId="24" fillId="0" borderId="53" xfId="94" applyFont="1" applyBorder="1" applyAlignment="1">
      <alignment horizontal="center" vertical="center"/>
      <protection/>
    </xf>
    <xf numFmtId="0" fontId="24" fillId="0" borderId="54" xfId="94" applyFont="1" applyBorder="1" applyAlignment="1">
      <alignment horizontal="center" vertical="center" wrapText="1"/>
      <protection/>
    </xf>
    <xf numFmtId="0" fontId="24" fillId="0" borderId="55" xfId="94" applyFont="1" applyBorder="1" applyAlignment="1">
      <alignment horizontal="center" vertical="center" wrapText="1"/>
      <protection/>
    </xf>
    <xf numFmtId="0" fontId="24" fillId="0" borderId="20" xfId="94" applyFont="1" applyBorder="1" applyAlignment="1">
      <alignment horizontal="center" vertical="center"/>
      <protection/>
    </xf>
    <xf numFmtId="0" fontId="24" fillId="0" borderId="51" xfId="94" applyFont="1" applyBorder="1" applyAlignment="1">
      <alignment horizontal="center" vertical="center"/>
      <protection/>
    </xf>
    <xf numFmtId="0" fontId="16" fillId="0" borderId="22" xfId="94" applyFont="1" applyBorder="1" applyAlignment="1">
      <alignment horizontal="center"/>
      <protection/>
    </xf>
    <xf numFmtId="0" fontId="24" fillId="0" borderId="58" xfId="94" applyFont="1" applyBorder="1" applyAlignment="1">
      <alignment horizontal="center" vertical="center" wrapText="1"/>
      <protection/>
    </xf>
    <xf numFmtId="0" fontId="24" fillId="0" borderId="54" xfId="94" applyFont="1" applyBorder="1" applyAlignment="1">
      <alignment horizontal="center" vertical="center"/>
      <protection/>
    </xf>
    <xf numFmtId="0" fontId="24" fillId="0" borderId="56" xfId="94" applyFont="1" applyBorder="1" applyAlignment="1">
      <alignment horizontal="center" vertical="center" wrapText="1"/>
      <protection/>
    </xf>
    <xf numFmtId="0" fontId="24" fillId="0" borderId="57" xfId="94" applyFont="1" applyBorder="1" applyAlignment="1">
      <alignment horizontal="center" vertical="center"/>
      <protection/>
    </xf>
    <xf numFmtId="0" fontId="24" fillId="0" borderId="20" xfId="94" applyFont="1" applyBorder="1" applyAlignment="1">
      <alignment horizontal="center" vertical="center" wrapText="1"/>
      <protection/>
    </xf>
    <xf numFmtId="0" fontId="24" fillId="0" borderId="52" xfId="94" applyFont="1" applyBorder="1" applyAlignment="1">
      <alignment horizontal="center" vertical="center" wrapText="1"/>
      <protection/>
    </xf>
    <xf numFmtId="0" fontId="16" fillId="0" borderId="56" xfId="94" applyNumberFormat="1" applyFont="1" applyBorder="1" applyAlignment="1">
      <alignment horizontal="center"/>
      <protection/>
    </xf>
    <xf numFmtId="0" fontId="16" fillId="0" borderId="20" xfId="94" applyNumberFormat="1" applyFont="1" applyBorder="1" applyAlignment="1">
      <alignment horizontal="center"/>
      <protection/>
    </xf>
    <xf numFmtId="0" fontId="24" fillId="0" borderId="49" xfId="94" applyFont="1" applyBorder="1" applyAlignment="1">
      <alignment horizontal="center" vertical="top"/>
      <protection/>
    </xf>
    <xf numFmtId="0" fontId="24" fillId="0" borderId="50" xfId="94" applyFont="1" applyBorder="1" applyAlignment="1">
      <alignment horizontal="center" vertical="top"/>
      <protection/>
    </xf>
    <xf numFmtId="49" fontId="24" fillId="0" borderId="62" xfId="94" applyNumberFormat="1" applyFont="1" applyBorder="1" applyAlignment="1">
      <alignment horizontal="center" vertical="top"/>
      <protection/>
    </xf>
    <xf numFmtId="49" fontId="24" fillId="0" borderId="49" xfId="94" applyNumberFormat="1" applyFont="1" applyBorder="1" applyAlignment="1">
      <alignment horizontal="center" vertical="top"/>
      <protection/>
    </xf>
    <xf numFmtId="0" fontId="16" fillId="0" borderId="57" xfId="94" applyNumberFormat="1" applyFont="1" applyBorder="1" applyAlignment="1">
      <alignment horizontal="center"/>
      <protection/>
    </xf>
    <xf numFmtId="0" fontId="16" fillId="0" borderId="52" xfId="94" applyNumberFormat="1" applyFont="1" applyBorder="1" applyAlignment="1">
      <alignment horizontal="center"/>
      <protection/>
    </xf>
    <xf numFmtId="0" fontId="16" fillId="0" borderId="52" xfId="94" applyFont="1" applyBorder="1" applyAlignment="1">
      <alignment horizontal="left" wrapText="1"/>
      <protection/>
    </xf>
    <xf numFmtId="0" fontId="0" fillId="0" borderId="20" xfId="94" applyBorder="1">
      <alignment/>
      <protection/>
    </xf>
    <xf numFmtId="0" fontId="16" fillId="0" borderId="20" xfId="94" applyFont="1" applyBorder="1" applyAlignment="1">
      <alignment horizontal="left" wrapText="1"/>
      <protection/>
    </xf>
    <xf numFmtId="0" fontId="16" fillId="0" borderId="20" xfId="94" applyFont="1" applyBorder="1" applyAlignment="1">
      <alignment horizontal="center" vertical="center"/>
      <protection/>
    </xf>
    <xf numFmtId="0" fontId="16" fillId="0" borderId="51" xfId="94" applyFont="1" applyBorder="1" applyAlignment="1">
      <alignment horizontal="center" vertical="center"/>
      <protection/>
    </xf>
    <xf numFmtId="0" fontId="0" fillId="0" borderId="0" xfId="94" applyAlignment="1">
      <alignment horizontal="right"/>
      <protection/>
    </xf>
    <xf numFmtId="0" fontId="50" fillId="0" borderId="0" xfId="99" applyFont="1" applyBorder="1" applyAlignment="1">
      <alignment/>
      <protection/>
    </xf>
    <xf numFmtId="0" fontId="16" fillId="0" borderId="0" xfId="94" applyFont="1" applyBorder="1" applyAlignment="1">
      <alignment horizontal="center"/>
      <protection/>
    </xf>
    <xf numFmtId="0" fontId="16" fillId="0" borderId="0" xfId="94" applyNumberFormat="1" applyFont="1" applyBorder="1" applyAlignment="1">
      <alignment horizontal="center"/>
      <protection/>
    </xf>
    <xf numFmtId="0" fontId="16" fillId="0" borderId="0" xfId="94" applyFont="1" applyBorder="1" applyAlignment="1">
      <alignment horizontal="left" wrapText="1"/>
      <protection/>
    </xf>
    <xf numFmtId="49" fontId="24" fillId="0" borderId="0" xfId="99" applyNumberFormat="1" applyFont="1" applyBorder="1" applyAlignment="1">
      <alignment horizontal="center"/>
      <protection/>
    </xf>
    <xf numFmtId="0" fontId="16" fillId="0" borderId="0" xfId="99" applyFont="1" applyAlignment="1">
      <alignment horizontal="right" wrapText="1"/>
      <protection/>
    </xf>
    <xf numFmtId="3" fontId="16" fillId="0" borderId="17" xfId="99" applyNumberFormat="1" applyFont="1" applyFill="1" applyBorder="1" applyAlignment="1">
      <alignment horizontal="center" vertical="center"/>
      <protection/>
    </xf>
    <xf numFmtId="3" fontId="16" fillId="0" borderId="13" xfId="99" applyNumberFormat="1" applyFont="1" applyFill="1" applyBorder="1" applyAlignment="1">
      <alignment horizontal="center" vertical="center"/>
      <protection/>
    </xf>
    <xf numFmtId="0" fontId="16" fillId="0" borderId="59" xfId="99" applyFont="1" applyFill="1" applyBorder="1" applyAlignment="1">
      <alignment horizontal="left" vertical="center"/>
      <protection/>
    </xf>
    <xf numFmtId="0" fontId="16" fillId="0" borderId="60" xfId="99" applyFont="1" applyFill="1" applyBorder="1" applyAlignment="1">
      <alignment horizontal="left" vertical="center"/>
      <protection/>
    </xf>
    <xf numFmtId="0" fontId="16" fillId="0" borderId="61" xfId="99" applyFont="1" applyFill="1" applyBorder="1" applyAlignment="1">
      <alignment horizontal="left" vertical="center"/>
      <protection/>
    </xf>
    <xf numFmtId="0" fontId="0" fillId="0" borderId="60" xfId="94" applyBorder="1" applyAlignment="1">
      <alignment/>
      <protection/>
    </xf>
    <xf numFmtId="0" fontId="0" fillId="0" borderId="61" xfId="94" applyBorder="1" applyAlignment="1">
      <alignment/>
      <protection/>
    </xf>
    <xf numFmtId="0" fontId="16" fillId="0" borderId="59" xfId="99" applyFont="1" applyFill="1" applyBorder="1" applyAlignment="1">
      <alignment horizontal="left" vertical="center" wrapText="1"/>
      <protection/>
    </xf>
    <xf numFmtId="0" fontId="0" fillId="0" borderId="60" xfId="94" applyBorder="1" applyAlignment="1">
      <alignment horizontal="left" vertical="center"/>
      <protection/>
    </xf>
    <xf numFmtId="0" fontId="0" fillId="0" borderId="61" xfId="94" applyBorder="1" applyAlignment="1">
      <alignment horizontal="left" vertical="center"/>
      <protection/>
    </xf>
    <xf numFmtId="0" fontId="43" fillId="0" borderId="59" xfId="99" applyFont="1" applyFill="1" applyBorder="1" applyAlignment="1">
      <alignment horizontal="left" vertical="center"/>
      <protection/>
    </xf>
    <xf numFmtId="0" fontId="43" fillId="0" borderId="60" xfId="99" applyFont="1" applyFill="1" applyBorder="1" applyAlignment="1">
      <alignment horizontal="left" vertical="center"/>
      <protection/>
    </xf>
    <xf numFmtId="0" fontId="43" fillId="0" borderId="61" xfId="99" applyFont="1" applyFill="1" applyBorder="1" applyAlignment="1">
      <alignment horizontal="left" vertical="center"/>
      <protection/>
    </xf>
    <xf numFmtId="0" fontId="16" fillId="0" borderId="44" xfId="99" applyFont="1" applyFill="1" applyBorder="1" applyAlignment="1">
      <alignment horizontal="left" vertical="center" wrapText="1"/>
      <protection/>
    </xf>
    <xf numFmtId="3" fontId="16" fillId="0" borderId="40" xfId="99" applyNumberFormat="1" applyFont="1" applyFill="1" applyBorder="1" applyAlignment="1">
      <alignment horizontal="center" vertical="center"/>
      <protection/>
    </xf>
    <xf numFmtId="0" fontId="16" fillId="0" borderId="40" xfId="99" applyFont="1" applyFill="1" applyBorder="1" applyAlignment="1">
      <alignment horizontal="center" vertical="center" wrapText="1"/>
      <protection/>
    </xf>
    <xf numFmtId="9" fontId="16" fillId="0" borderId="13" xfId="99" applyNumberFormat="1" applyFont="1" applyFill="1" applyBorder="1" applyAlignment="1">
      <alignment horizontal="center" vertical="center"/>
      <protection/>
    </xf>
    <xf numFmtId="0" fontId="16" fillId="0" borderId="13" xfId="99" applyFont="1" applyFill="1" applyBorder="1" applyAlignment="1">
      <alignment horizontal="center" vertical="center"/>
      <protection/>
    </xf>
    <xf numFmtId="0" fontId="44" fillId="9" borderId="13" xfId="99" applyFont="1" applyFill="1" applyBorder="1" applyAlignment="1">
      <alignment horizontal="center" vertical="center"/>
      <protection/>
    </xf>
    <xf numFmtId="3" fontId="35" fillId="0" borderId="20" xfId="94" applyNumberFormat="1" applyFont="1" applyFill="1" applyBorder="1" applyAlignment="1">
      <alignment horizontal="center" vertical="center"/>
      <protection/>
    </xf>
    <xf numFmtId="0" fontId="35" fillId="0" borderId="20" xfId="94" applyFont="1" applyFill="1" applyBorder="1" applyAlignment="1">
      <alignment horizontal="center"/>
      <protection/>
    </xf>
    <xf numFmtId="0" fontId="0" fillId="0" borderId="0" xfId="94" applyBorder="1" applyAlignment="1">
      <alignment/>
      <protection/>
    </xf>
    <xf numFmtId="0" fontId="0" fillId="0" borderId="22" xfId="94" applyBorder="1" applyAlignment="1">
      <alignment/>
      <protection/>
    </xf>
  </cellXfs>
  <cellStyles count="9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 2" xfId="69"/>
    <cellStyle name="Гиперссылка 4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 2" xfId="82"/>
    <cellStyle name="Обычный 14" xfId="83"/>
    <cellStyle name="Обычный 2" xfId="84"/>
    <cellStyle name="Обычный 2 2" xfId="85"/>
    <cellStyle name="Обычный 2 3" xfId="86"/>
    <cellStyle name="Обычный 2 6" xfId="87"/>
    <cellStyle name="Обычный 3" xfId="88"/>
    <cellStyle name="Обычный 3 3" xfId="89"/>
    <cellStyle name="Обычный_12" xfId="90"/>
    <cellStyle name="Обычный_12_Отчетные формы по инвест программе(2кв.2016)" xfId="91"/>
    <cellStyle name="Обычный_6.2год." xfId="92"/>
    <cellStyle name="Обычный_8" xfId="93"/>
    <cellStyle name="Обычный_Годовые формы" xfId="94"/>
    <cellStyle name="Обычный_Инвестиции Сети Сбыты ЭСО" xfId="95"/>
    <cellStyle name="Обычный_Лист1" xfId="96"/>
    <cellStyle name="Обычный_Отчет ИП 2016 посл" xfId="97"/>
    <cellStyle name="Обычный_Отчетные формы по инвест программе" xfId="98"/>
    <cellStyle name="Обычный_Отчетные формы по инвест программе_Отчетные формы по инвест программе(2кв.2016)" xfId="99"/>
    <cellStyle name="Обычный_Отчетные формы по инвест программеДима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76;&#1086;&#1074;&#1099;&#1077;%20&#1092;&#1086;&#1088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год."/>
      <sheetName val="6.3.год"/>
      <sheetName val="12"/>
      <sheetName val="13"/>
      <sheetName val="13 (1кв)"/>
      <sheetName val="13 (2кв)"/>
      <sheetName val="13 (3 кв)"/>
      <sheetName val="13 (4 кв)"/>
      <sheetName val="11.2 (1 кв)"/>
      <sheetName val="9 (1 кв)"/>
      <sheetName val="Ф2 вспомогат"/>
    </sheetNames>
    <sheetDataSet>
      <sheetData sheetId="1">
        <row r="16">
          <cell r="AT16">
            <v>16.88811075</v>
          </cell>
          <cell r="BF16">
            <v>17.49399127576271</v>
          </cell>
        </row>
      </sheetData>
      <sheetData sheetId="11">
        <row r="4">
          <cell r="R4">
            <v>121343</v>
          </cell>
        </row>
        <row r="19">
          <cell r="R19">
            <v>2401.37344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7"/>
  <sheetViews>
    <sheetView view="pageBreakPreview" zoomScale="85" zoomScaleNormal="60" zoomScaleSheetLayoutView="85" zoomScalePageLayoutView="0" workbookViewId="0" topLeftCell="B19">
      <selection activeCell="D114" sqref="D114:U114"/>
    </sheetView>
  </sheetViews>
  <sheetFormatPr defaultColWidth="13.125" defaultRowHeight="12.75" outlineLevelCol="1"/>
  <cols>
    <col min="1" max="1" width="7.375" style="1" hidden="1" customWidth="1" outlineLevel="1"/>
    <col min="2" max="2" width="52.00390625" style="2" customWidth="1" collapsed="1"/>
    <col min="3" max="3" width="15.00390625" style="3" customWidth="1" outlineLevel="1"/>
    <col min="4" max="4" width="9.00390625" style="3" customWidth="1"/>
    <col min="5" max="5" width="11.875" style="3" customWidth="1"/>
    <col min="6" max="8" width="9.00390625" style="3" customWidth="1"/>
    <col min="9" max="9" width="10.625" style="3" customWidth="1"/>
    <col min="10" max="11" width="9.00390625" style="3" customWidth="1"/>
    <col min="12" max="12" width="10.625" style="3" customWidth="1"/>
    <col min="13" max="13" width="12.625" style="3" customWidth="1"/>
    <col min="14" max="14" width="11.875" style="3" customWidth="1"/>
    <col min="15" max="15" width="11.625" style="3" customWidth="1"/>
    <col min="16" max="17" width="13.125" style="3" customWidth="1"/>
    <col min="18" max="18" width="17.25390625" style="3" customWidth="1" outlineLevel="1"/>
    <col min="19" max="20" width="11.125" style="1" customWidth="1" outlineLevel="1"/>
    <col min="21" max="22" width="13.125" style="1" customWidth="1" outlineLevel="1"/>
    <col min="23" max="23" width="26.375" style="1" customWidth="1" outlineLevel="1"/>
    <col min="24" max="16384" width="13.125" style="3" customWidth="1"/>
  </cols>
  <sheetData>
    <row r="1" spans="21:23" ht="12.75" customHeight="1">
      <c r="U1" s="219"/>
      <c r="V1" s="219"/>
      <c r="W1" s="5" t="s">
        <v>0</v>
      </c>
    </row>
    <row r="2" ht="15">
      <c r="W2" s="1" t="s">
        <v>1</v>
      </c>
    </row>
    <row r="3" ht="15">
      <c r="W3" s="5" t="s">
        <v>2</v>
      </c>
    </row>
    <row r="5" spans="20:46" ht="66" customHeight="1">
      <c r="T5" s="220" t="s">
        <v>3</v>
      </c>
      <c r="U5" s="220"/>
      <c r="V5" s="220"/>
      <c r="W5" s="22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20:46" ht="16.5">
      <c r="T6" s="6"/>
      <c r="U6" s="6"/>
      <c r="V6" s="6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ht="15">
      <c r="W7" s="8"/>
    </row>
    <row r="8" ht="15">
      <c r="W8" s="9" t="s">
        <v>4</v>
      </c>
    </row>
    <row r="9" spans="23:51" ht="15">
      <c r="W9" s="10" t="s">
        <v>5</v>
      </c>
      <c r="X9" s="11"/>
      <c r="Y9" s="221"/>
      <c r="Z9" s="221"/>
      <c r="AA9" s="221"/>
      <c r="AB9" s="222"/>
      <c r="AC9" s="222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3">
        <v>20</v>
      </c>
      <c r="AP9" s="223"/>
      <c r="AQ9" s="223"/>
      <c r="AR9" s="217"/>
      <c r="AS9" s="217"/>
      <c r="AT9" s="217"/>
      <c r="AU9" s="12"/>
      <c r="AV9" s="13" t="s">
        <v>6</v>
      </c>
      <c r="AW9" s="12"/>
      <c r="AX9" s="12"/>
      <c r="AY9" s="13"/>
    </row>
    <row r="10" spans="19:51" ht="15">
      <c r="S10" s="14"/>
      <c r="W10" s="15" t="s">
        <v>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5" t="s">
        <v>8</v>
      </c>
    </row>
    <row r="11" spans="1:23" ht="18" customHeight="1">
      <c r="A11" s="218" t="s">
        <v>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1:23" ht="18" customHeight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4.25" customHeight="1">
      <c r="A13" s="215" t="s">
        <v>10</v>
      </c>
      <c r="B13" s="216" t="s">
        <v>11</v>
      </c>
      <c r="C13" s="214" t="s">
        <v>12</v>
      </c>
      <c r="D13" s="214" t="s">
        <v>13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 t="s">
        <v>14</v>
      </c>
      <c r="O13" s="214"/>
      <c r="P13" s="214" t="s">
        <v>15</v>
      </c>
      <c r="Q13" s="214"/>
      <c r="R13" s="214" t="s">
        <v>16</v>
      </c>
      <c r="S13" s="213" t="s">
        <v>17</v>
      </c>
      <c r="T13" s="213"/>
      <c r="U13" s="213"/>
      <c r="V13" s="213"/>
      <c r="W13" s="213" t="s">
        <v>18</v>
      </c>
    </row>
    <row r="14" spans="1:23" ht="46.5" customHeight="1">
      <c r="A14" s="215"/>
      <c r="B14" s="216"/>
      <c r="C14" s="214"/>
      <c r="D14" s="214" t="s">
        <v>19</v>
      </c>
      <c r="E14" s="214"/>
      <c r="F14" s="214" t="s">
        <v>20</v>
      </c>
      <c r="G14" s="214"/>
      <c r="H14" s="214" t="s">
        <v>21</v>
      </c>
      <c r="I14" s="214"/>
      <c r="J14" s="214" t="s">
        <v>22</v>
      </c>
      <c r="K14" s="214"/>
      <c r="L14" s="214" t="s">
        <v>23</v>
      </c>
      <c r="M14" s="214"/>
      <c r="N14" s="214"/>
      <c r="O14" s="214"/>
      <c r="P14" s="214"/>
      <c r="Q14" s="214"/>
      <c r="R14" s="214"/>
      <c r="S14" s="213" t="s">
        <v>24</v>
      </c>
      <c r="T14" s="213" t="s">
        <v>25</v>
      </c>
      <c r="U14" s="213" t="s">
        <v>26</v>
      </c>
      <c r="V14" s="213"/>
      <c r="W14" s="213"/>
    </row>
    <row r="15" spans="1:24" ht="63.75">
      <c r="A15" s="215"/>
      <c r="B15" s="216"/>
      <c r="C15" s="214"/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29</v>
      </c>
      <c r="I15" s="19" t="s">
        <v>30</v>
      </c>
      <c r="J15" s="19" t="s">
        <v>29</v>
      </c>
      <c r="K15" s="19" t="s">
        <v>30</v>
      </c>
      <c r="L15" s="19" t="s">
        <v>29</v>
      </c>
      <c r="M15" s="19" t="s">
        <v>30</v>
      </c>
      <c r="N15" s="19" t="s">
        <v>19</v>
      </c>
      <c r="O15" s="19" t="s">
        <v>31</v>
      </c>
      <c r="P15" s="19" t="s">
        <v>19</v>
      </c>
      <c r="Q15" s="19" t="s">
        <v>31</v>
      </c>
      <c r="R15" s="214"/>
      <c r="S15" s="213"/>
      <c r="T15" s="213"/>
      <c r="U15" s="20" t="s">
        <v>32</v>
      </c>
      <c r="V15" s="20" t="s">
        <v>33</v>
      </c>
      <c r="W15" s="213"/>
      <c r="X15" s="21"/>
    </row>
    <row r="16" spans="1:25" s="21" customFormat="1" ht="14.25">
      <c r="A16" s="22"/>
      <c r="B16" s="23" t="s">
        <v>34</v>
      </c>
      <c r="C16" s="24">
        <v>0</v>
      </c>
      <c r="D16" s="24">
        <f aca="true" t="shared" si="0" ref="D16:S16">D17+D94+D103</f>
        <v>19.92796508</v>
      </c>
      <c r="E16" s="24">
        <f t="shared" si="0"/>
        <v>20.642909226599997</v>
      </c>
      <c r="F16" s="24">
        <f t="shared" si="0"/>
        <v>1.69771084</v>
      </c>
      <c r="G16" s="24">
        <f t="shared" si="0"/>
        <v>1.69771084</v>
      </c>
      <c r="H16" s="24">
        <f t="shared" si="0"/>
        <v>1.6013012150400001</v>
      </c>
      <c r="I16" s="24">
        <f t="shared" si="0"/>
        <v>4.5856623808</v>
      </c>
      <c r="J16" s="24">
        <f t="shared" si="0"/>
        <v>3.1070589723135997</v>
      </c>
      <c r="K16" s="24">
        <f t="shared" si="0"/>
        <v>1.2613180008000002</v>
      </c>
      <c r="L16" s="24">
        <f t="shared" si="0"/>
        <v>13.5218940526464</v>
      </c>
      <c r="M16" s="24">
        <f t="shared" si="0"/>
        <v>13.098218005</v>
      </c>
      <c r="N16" s="24">
        <f t="shared" si="0"/>
        <v>20.642909226599997</v>
      </c>
      <c r="O16" s="24">
        <f t="shared" si="0"/>
        <v>13.098218005</v>
      </c>
      <c r="P16" s="24">
        <f t="shared" si="0"/>
        <v>20.642909226599997</v>
      </c>
      <c r="Q16" s="24">
        <f t="shared" si="0"/>
        <v>13.098218005</v>
      </c>
      <c r="R16" s="24">
        <f t="shared" si="0"/>
        <v>-0.7149441465999966</v>
      </c>
      <c r="S16" s="24">
        <f t="shared" si="0"/>
        <v>0.7149441465999957</v>
      </c>
      <c r="T16" s="25">
        <f aca="true" t="shared" si="1" ref="T16:T47">(E16-D16)/D16*100</f>
        <v>3.587642510060024</v>
      </c>
      <c r="U16" s="24">
        <f>U17+U94+U103</f>
        <v>0.7149441465999957</v>
      </c>
      <c r="V16" s="26"/>
      <c r="W16" s="27"/>
      <c r="X16" s="28"/>
      <c r="Y16" s="29"/>
    </row>
    <row r="17" spans="1:24" ht="34.5" customHeight="1">
      <c r="A17" s="20">
        <v>1</v>
      </c>
      <c r="B17" s="30" t="s">
        <v>35</v>
      </c>
      <c r="C17" s="31">
        <v>0</v>
      </c>
      <c r="D17" s="24">
        <f aca="true" t="shared" si="2" ref="D17:O17">D18</f>
        <v>16.665777407686402</v>
      </c>
      <c r="E17" s="24">
        <f t="shared" si="2"/>
        <v>14.104477719599998</v>
      </c>
      <c r="F17" s="24">
        <f t="shared" si="2"/>
        <v>1.69771084</v>
      </c>
      <c r="G17" s="24">
        <f t="shared" si="2"/>
        <v>1.69771084</v>
      </c>
      <c r="H17" s="24">
        <f t="shared" si="2"/>
        <v>1.6013012150400001</v>
      </c>
      <c r="I17" s="24">
        <f t="shared" si="2"/>
        <v>4.272152358</v>
      </c>
      <c r="J17" s="24">
        <f t="shared" si="2"/>
        <v>2.82232754</v>
      </c>
      <c r="K17" s="24">
        <f t="shared" si="2"/>
        <v>0.34161952260000006</v>
      </c>
      <c r="L17" s="24">
        <f t="shared" si="2"/>
        <v>10.5444378126464</v>
      </c>
      <c r="M17" s="31">
        <f t="shared" si="2"/>
        <v>7.792994999</v>
      </c>
      <c r="N17" s="24">
        <f t="shared" si="2"/>
        <v>14.104477719599998</v>
      </c>
      <c r="O17" s="24">
        <f t="shared" si="2"/>
        <v>7.792994999</v>
      </c>
      <c r="P17" s="24">
        <f>N17</f>
        <v>14.104477719599998</v>
      </c>
      <c r="Q17" s="24">
        <f>O17</f>
        <v>7.792994999</v>
      </c>
      <c r="R17" s="24">
        <f>R18</f>
        <v>2.561299688086403</v>
      </c>
      <c r="S17" s="22">
        <f>E17-D17</f>
        <v>-2.561299688086404</v>
      </c>
      <c r="T17" s="25">
        <f t="shared" si="1"/>
        <v>-15.368618129419573</v>
      </c>
      <c r="U17" s="22">
        <f>S17</f>
        <v>-2.561299688086404</v>
      </c>
      <c r="V17" s="22"/>
      <c r="W17" s="20"/>
      <c r="X17" s="32"/>
    </row>
    <row r="18" spans="1:23" ht="37.5" customHeight="1">
      <c r="A18" s="33" t="s">
        <v>36</v>
      </c>
      <c r="B18" s="30" t="s">
        <v>37</v>
      </c>
      <c r="C18" s="24">
        <f>SUM(C19:C86)</f>
        <v>0</v>
      </c>
      <c r="D18" s="24">
        <f aca="true" t="shared" si="3" ref="D18:R18">SUM(D19:D93)</f>
        <v>16.665777407686402</v>
      </c>
      <c r="E18" s="24">
        <f t="shared" si="3"/>
        <v>14.104477719599998</v>
      </c>
      <c r="F18" s="24">
        <f t="shared" si="3"/>
        <v>1.69771084</v>
      </c>
      <c r="G18" s="24">
        <f t="shared" si="3"/>
        <v>1.69771084</v>
      </c>
      <c r="H18" s="24">
        <f t="shared" si="3"/>
        <v>1.6013012150400001</v>
      </c>
      <c r="I18" s="24">
        <f t="shared" si="3"/>
        <v>4.272152358</v>
      </c>
      <c r="J18" s="24">
        <f t="shared" si="3"/>
        <v>2.82232754</v>
      </c>
      <c r="K18" s="24">
        <f t="shared" si="3"/>
        <v>0.34161952260000006</v>
      </c>
      <c r="L18" s="24">
        <f t="shared" si="3"/>
        <v>10.5444378126464</v>
      </c>
      <c r="M18" s="24">
        <f t="shared" si="3"/>
        <v>7.792994999</v>
      </c>
      <c r="N18" s="24">
        <f t="shared" si="3"/>
        <v>14.104477719599998</v>
      </c>
      <c r="O18" s="24">
        <f t="shared" si="3"/>
        <v>7.792994999</v>
      </c>
      <c r="P18" s="24">
        <f t="shared" si="3"/>
        <v>14.104477719599998</v>
      </c>
      <c r="Q18" s="24">
        <f t="shared" si="3"/>
        <v>7.792994999</v>
      </c>
      <c r="R18" s="24">
        <f t="shared" si="3"/>
        <v>2.561299688086403</v>
      </c>
      <c r="S18" s="24">
        <f>SUM(S19:S86)</f>
        <v>-7.023204058286402</v>
      </c>
      <c r="T18" s="25">
        <f t="shared" si="1"/>
        <v>-15.368618129419573</v>
      </c>
      <c r="U18" s="24">
        <f>SUM(U19:U93)</f>
        <v>-2.561299688086403</v>
      </c>
      <c r="V18" s="22"/>
      <c r="W18" s="20"/>
    </row>
    <row r="19" spans="1:23" ht="46.5" customHeight="1">
      <c r="A19" s="34" t="s">
        <v>38</v>
      </c>
      <c r="B19" s="35" t="s">
        <v>39</v>
      </c>
      <c r="C19" s="31">
        <v>0</v>
      </c>
      <c r="D19" s="31">
        <f>237.9883/1000</f>
        <v>0.2379883</v>
      </c>
      <c r="E19" s="31">
        <f aca="true" t="shared" si="4" ref="E19:E50">G19+I19+K19+M19</f>
        <v>0</v>
      </c>
      <c r="F19" s="31">
        <v>0</v>
      </c>
      <c r="G19" s="31">
        <v>0</v>
      </c>
      <c r="H19" s="31">
        <v>0</v>
      </c>
      <c r="I19" s="31">
        <v>0</v>
      </c>
      <c r="J19" s="31">
        <f aca="true" t="shared" si="5" ref="J19:J24">D19</f>
        <v>0.2379883</v>
      </c>
      <c r="K19" s="36">
        <v>0</v>
      </c>
      <c r="L19" s="31">
        <v>0</v>
      </c>
      <c r="M19" s="31">
        <v>0</v>
      </c>
      <c r="N19" s="31">
        <f aca="true" t="shared" si="6" ref="N19:N50">E19</f>
        <v>0</v>
      </c>
      <c r="O19" s="26">
        <f aca="true" t="shared" si="7" ref="O19:O50">M19</f>
        <v>0</v>
      </c>
      <c r="P19" s="26">
        <f aca="true" t="shared" si="8" ref="P19:P50">N19</f>
        <v>0</v>
      </c>
      <c r="Q19" s="26">
        <f aca="true" t="shared" si="9" ref="Q19:Q50">O19</f>
        <v>0</v>
      </c>
      <c r="R19" s="26">
        <f aca="true" t="shared" si="10" ref="R19:R50">D19-E19</f>
        <v>0.2379883</v>
      </c>
      <c r="S19" s="31">
        <f aca="true" t="shared" si="11" ref="S19:S50">E19-D19</f>
        <v>-0.2379883</v>
      </c>
      <c r="T19" s="37">
        <f t="shared" si="1"/>
        <v>-100</v>
      </c>
      <c r="U19" s="31">
        <f aca="true" t="shared" si="12" ref="U19:U50">S19</f>
        <v>-0.2379883</v>
      </c>
      <c r="V19" s="22"/>
      <c r="W19" s="27"/>
    </row>
    <row r="20" spans="1:23" ht="37.5" customHeight="1">
      <c r="A20" s="34" t="s">
        <v>40</v>
      </c>
      <c r="B20" s="35" t="s">
        <v>41</v>
      </c>
      <c r="C20" s="31">
        <v>0</v>
      </c>
      <c r="D20" s="31">
        <f>237.9883/1000</f>
        <v>0.2379883</v>
      </c>
      <c r="E20" s="31">
        <f t="shared" si="4"/>
        <v>0</v>
      </c>
      <c r="F20" s="31">
        <v>0</v>
      </c>
      <c r="G20" s="31">
        <v>0</v>
      </c>
      <c r="H20" s="31">
        <v>0</v>
      </c>
      <c r="I20" s="31">
        <v>0</v>
      </c>
      <c r="J20" s="31">
        <f t="shared" si="5"/>
        <v>0.2379883</v>
      </c>
      <c r="K20" s="36">
        <v>0</v>
      </c>
      <c r="L20" s="31">
        <v>0</v>
      </c>
      <c r="M20" s="31">
        <v>0</v>
      </c>
      <c r="N20" s="31">
        <f t="shared" si="6"/>
        <v>0</v>
      </c>
      <c r="O20" s="26">
        <f t="shared" si="7"/>
        <v>0</v>
      </c>
      <c r="P20" s="26">
        <f t="shared" si="8"/>
        <v>0</v>
      </c>
      <c r="Q20" s="26">
        <f t="shared" si="9"/>
        <v>0</v>
      </c>
      <c r="R20" s="26">
        <f t="shared" si="10"/>
        <v>0.2379883</v>
      </c>
      <c r="S20" s="31">
        <f t="shared" si="11"/>
        <v>-0.2379883</v>
      </c>
      <c r="T20" s="37">
        <f t="shared" si="1"/>
        <v>-100</v>
      </c>
      <c r="U20" s="31">
        <f t="shared" si="12"/>
        <v>-0.2379883</v>
      </c>
      <c r="V20" s="22"/>
      <c r="W20" s="27"/>
    </row>
    <row r="21" spans="1:23" ht="46.5" customHeight="1">
      <c r="A21" s="34" t="s">
        <v>42</v>
      </c>
      <c r="B21" s="35" t="s">
        <v>43</v>
      </c>
      <c r="C21" s="31">
        <v>0</v>
      </c>
      <c r="D21" s="31">
        <f>342.0112/1000</f>
        <v>0.34201119999999996</v>
      </c>
      <c r="E21" s="31">
        <f t="shared" si="4"/>
        <v>0</v>
      </c>
      <c r="F21" s="31">
        <v>0</v>
      </c>
      <c r="G21" s="31">
        <v>0</v>
      </c>
      <c r="H21" s="31">
        <v>0</v>
      </c>
      <c r="I21" s="31">
        <v>0</v>
      </c>
      <c r="J21" s="31">
        <f t="shared" si="5"/>
        <v>0.34201119999999996</v>
      </c>
      <c r="K21" s="36">
        <v>0</v>
      </c>
      <c r="L21" s="31">
        <v>0</v>
      </c>
      <c r="M21" s="31">
        <v>0</v>
      </c>
      <c r="N21" s="31">
        <f t="shared" si="6"/>
        <v>0</v>
      </c>
      <c r="O21" s="26">
        <f t="shared" si="7"/>
        <v>0</v>
      </c>
      <c r="P21" s="26">
        <f t="shared" si="8"/>
        <v>0</v>
      </c>
      <c r="Q21" s="26">
        <f t="shared" si="9"/>
        <v>0</v>
      </c>
      <c r="R21" s="26">
        <f t="shared" si="10"/>
        <v>0.34201119999999996</v>
      </c>
      <c r="S21" s="31">
        <f t="shared" si="11"/>
        <v>-0.34201119999999996</v>
      </c>
      <c r="T21" s="37">
        <f t="shared" si="1"/>
        <v>-100</v>
      </c>
      <c r="U21" s="31">
        <f t="shared" si="12"/>
        <v>-0.34201119999999996</v>
      </c>
      <c r="V21" s="22"/>
      <c r="W21" s="27"/>
    </row>
    <row r="22" spans="1:23" ht="69.75" customHeight="1">
      <c r="A22" s="34" t="s">
        <v>44</v>
      </c>
      <c r="B22" s="35" t="s">
        <v>45</v>
      </c>
      <c r="C22" s="31">
        <v>0</v>
      </c>
      <c r="D22" s="31">
        <f>460.20708/1000</f>
        <v>0.46020708000000005</v>
      </c>
      <c r="E22" s="31">
        <f t="shared" si="4"/>
        <v>0</v>
      </c>
      <c r="F22" s="31">
        <v>0</v>
      </c>
      <c r="G22" s="31">
        <v>0</v>
      </c>
      <c r="H22" s="31">
        <v>0</v>
      </c>
      <c r="I22" s="31">
        <v>0</v>
      </c>
      <c r="J22" s="31">
        <f t="shared" si="5"/>
        <v>0.46020708000000005</v>
      </c>
      <c r="K22" s="36">
        <v>0</v>
      </c>
      <c r="L22" s="31">
        <v>0</v>
      </c>
      <c r="M22" s="31">
        <v>0</v>
      </c>
      <c r="N22" s="31">
        <f t="shared" si="6"/>
        <v>0</v>
      </c>
      <c r="O22" s="26">
        <f t="shared" si="7"/>
        <v>0</v>
      </c>
      <c r="P22" s="26">
        <f t="shared" si="8"/>
        <v>0</v>
      </c>
      <c r="Q22" s="26">
        <f t="shared" si="9"/>
        <v>0</v>
      </c>
      <c r="R22" s="26">
        <f t="shared" si="10"/>
        <v>0.46020708000000005</v>
      </c>
      <c r="S22" s="31">
        <f t="shared" si="11"/>
        <v>-0.46020708000000005</v>
      </c>
      <c r="T22" s="37">
        <f t="shared" si="1"/>
        <v>-100</v>
      </c>
      <c r="U22" s="31">
        <f t="shared" si="12"/>
        <v>-0.46020708000000005</v>
      </c>
      <c r="V22" s="22"/>
      <c r="W22" s="27"/>
    </row>
    <row r="23" spans="1:23" ht="106.5" customHeight="1">
      <c r="A23" s="34" t="s">
        <v>46</v>
      </c>
      <c r="B23" s="35" t="s">
        <v>47</v>
      </c>
      <c r="C23" s="31">
        <v>0</v>
      </c>
      <c r="D23" s="31">
        <f>350.59452/1000</f>
        <v>0.35059451999999997</v>
      </c>
      <c r="E23" s="31">
        <f t="shared" si="4"/>
        <v>0</v>
      </c>
      <c r="F23" s="31">
        <v>0</v>
      </c>
      <c r="G23" s="31">
        <v>0</v>
      </c>
      <c r="H23" s="31">
        <v>0</v>
      </c>
      <c r="I23" s="31">
        <v>0</v>
      </c>
      <c r="J23" s="31">
        <f t="shared" si="5"/>
        <v>0.35059451999999997</v>
      </c>
      <c r="K23" s="36">
        <v>0</v>
      </c>
      <c r="L23" s="31">
        <v>0</v>
      </c>
      <c r="M23" s="31">
        <v>0</v>
      </c>
      <c r="N23" s="31">
        <f t="shared" si="6"/>
        <v>0</v>
      </c>
      <c r="O23" s="26">
        <f t="shared" si="7"/>
        <v>0</v>
      </c>
      <c r="P23" s="26">
        <f t="shared" si="8"/>
        <v>0</v>
      </c>
      <c r="Q23" s="26">
        <f t="shared" si="9"/>
        <v>0</v>
      </c>
      <c r="R23" s="26">
        <f t="shared" si="10"/>
        <v>0.35059451999999997</v>
      </c>
      <c r="S23" s="31">
        <f t="shared" si="11"/>
        <v>-0.35059451999999997</v>
      </c>
      <c r="T23" s="37">
        <f t="shared" si="1"/>
        <v>-100</v>
      </c>
      <c r="U23" s="31">
        <f t="shared" si="12"/>
        <v>-0.35059451999999997</v>
      </c>
      <c r="V23" s="22"/>
      <c r="W23" s="27"/>
    </row>
    <row r="24" spans="1:23" ht="63.75" customHeight="1">
      <c r="A24" s="34" t="s">
        <v>48</v>
      </c>
      <c r="B24" s="35" t="s">
        <v>49</v>
      </c>
      <c r="C24" s="31">
        <v>0</v>
      </c>
      <c r="D24" s="31">
        <f>1193.53814/1000</f>
        <v>1.19353814</v>
      </c>
      <c r="E24" s="31">
        <f t="shared" si="4"/>
        <v>0</v>
      </c>
      <c r="F24" s="31">
        <v>0</v>
      </c>
      <c r="G24" s="31">
        <v>0</v>
      </c>
      <c r="H24" s="31">
        <v>0</v>
      </c>
      <c r="I24" s="31">
        <v>0</v>
      </c>
      <c r="J24" s="31">
        <f t="shared" si="5"/>
        <v>1.19353814</v>
      </c>
      <c r="K24" s="36">
        <v>0</v>
      </c>
      <c r="L24" s="31">
        <v>0</v>
      </c>
      <c r="M24" s="31">
        <v>0</v>
      </c>
      <c r="N24" s="31">
        <f t="shared" si="6"/>
        <v>0</v>
      </c>
      <c r="O24" s="26">
        <f t="shared" si="7"/>
        <v>0</v>
      </c>
      <c r="P24" s="26">
        <f t="shared" si="8"/>
        <v>0</v>
      </c>
      <c r="Q24" s="26">
        <f t="shared" si="9"/>
        <v>0</v>
      </c>
      <c r="R24" s="26">
        <f t="shared" si="10"/>
        <v>1.19353814</v>
      </c>
      <c r="S24" s="31">
        <f t="shared" si="11"/>
        <v>-1.19353814</v>
      </c>
      <c r="T24" s="37">
        <f t="shared" si="1"/>
        <v>-100</v>
      </c>
      <c r="U24" s="31">
        <f t="shared" si="12"/>
        <v>-1.19353814</v>
      </c>
      <c r="V24" s="22"/>
      <c r="W24" s="27"/>
    </row>
    <row r="25" spans="1:23" ht="40.5" customHeight="1">
      <c r="A25" s="34" t="s">
        <v>50</v>
      </c>
      <c r="B25" s="35" t="s">
        <v>51</v>
      </c>
      <c r="C25" s="31">
        <v>0</v>
      </c>
      <c r="D25" s="31">
        <f>99.417637536/1000</f>
        <v>0.099417637536</v>
      </c>
      <c r="E25" s="31">
        <f t="shared" si="4"/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6">
        <v>0</v>
      </c>
      <c r="L25" s="31">
        <f aca="true" t="shared" si="13" ref="L25:L65">D25</f>
        <v>0.099417637536</v>
      </c>
      <c r="M25" s="31">
        <v>0</v>
      </c>
      <c r="N25" s="31">
        <f t="shared" si="6"/>
        <v>0</v>
      </c>
      <c r="O25" s="26">
        <f t="shared" si="7"/>
        <v>0</v>
      </c>
      <c r="P25" s="26">
        <f t="shared" si="8"/>
        <v>0</v>
      </c>
      <c r="Q25" s="26">
        <f t="shared" si="9"/>
        <v>0</v>
      </c>
      <c r="R25" s="26">
        <f t="shared" si="10"/>
        <v>0.099417637536</v>
      </c>
      <c r="S25" s="31">
        <f t="shared" si="11"/>
        <v>-0.099417637536</v>
      </c>
      <c r="T25" s="37">
        <f t="shared" si="1"/>
        <v>-100</v>
      </c>
      <c r="U25" s="31">
        <f t="shared" si="12"/>
        <v>-0.099417637536</v>
      </c>
      <c r="V25" s="22"/>
      <c r="W25" s="27"/>
    </row>
    <row r="26" spans="1:23" ht="42" customHeight="1">
      <c r="A26" s="34" t="s">
        <v>52</v>
      </c>
      <c r="B26" s="35" t="s">
        <v>53</v>
      </c>
      <c r="C26" s="31">
        <v>0</v>
      </c>
      <c r="D26" s="31">
        <f>504.9269796/1000</f>
        <v>0.5049269796</v>
      </c>
      <c r="E26" s="31">
        <f t="shared" si="4"/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6">
        <v>0</v>
      </c>
      <c r="L26" s="31">
        <f t="shared" si="13"/>
        <v>0.5049269796</v>
      </c>
      <c r="M26" s="31">
        <v>0</v>
      </c>
      <c r="N26" s="31">
        <f t="shared" si="6"/>
        <v>0</v>
      </c>
      <c r="O26" s="26">
        <f t="shared" si="7"/>
        <v>0</v>
      </c>
      <c r="P26" s="26">
        <f t="shared" si="8"/>
        <v>0</v>
      </c>
      <c r="Q26" s="26">
        <f t="shared" si="9"/>
        <v>0</v>
      </c>
      <c r="R26" s="26">
        <f t="shared" si="10"/>
        <v>0.5049269796</v>
      </c>
      <c r="S26" s="31">
        <f t="shared" si="11"/>
        <v>-0.5049269796</v>
      </c>
      <c r="T26" s="37">
        <f t="shared" si="1"/>
        <v>-100</v>
      </c>
      <c r="U26" s="31">
        <f t="shared" si="12"/>
        <v>-0.5049269796</v>
      </c>
      <c r="V26" s="22"/>
      <c r="W26" s="27"/>
    </row>
    <row r="27" spans="1:23" ht="38.25" customHeight="1">
      <c r="A27" s="34" t="s">
        <v>54</v>
      </c>
      <c r="B27" s="35" t="s">
        <v>55</v>
      </c>
      <c r="C27" s="31">
        <v>0</v>
      </c>
      <c r="D27" s="31">
        <f>207.227216064/1000</f>
        <v>0.207227216064</v>
      </c>
      <c r="E27" s="31">
        <f t="shared" si="4"/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6">
        <v>0</v>
      </c>
      <c r="L27" s="31">
        <f t="shared" si="13"/>
        <v>0.207227216064</v>
      </c>
      <c r="M27" s="31">
        <v>0</v>
      </c>
      <c r="N27" s="31">
        <f t="shared" si="6"/>
        <v>0</v>
      </c>
      <c r="O27" s="26">
        <f t="shared" si="7"/>
        <v>0</v>
      </c>
      <c r="P27" s="26">
        <f t="shared" si="8"/>
        <v>0</v>
      </c>
      <c r="Q27" s="26">
        <f t="shared" si="9"/>
        <v>0</v>
      </c>
      <c r="R27" s="26">
        <f t="shared" si="10"/>
        <v>0.207227216064</v>
      </c>
      <c r="S27" s="31">
        <f t="shared" si="11"/>
        <v>-0.207227216064</v>
      </c>
      <c r="T27" s="37">
        <f t="shared" si="1"/>
        <v>-100</v>
      </c>
      <c r="U27" s="31">
        <f t="shared" si="12"/>
        <v>-0.207227216064</v>
      </c>
      <c r="V27" s="22"/>
      <c r="W27" s="27"/>
    </row>
    <row r="28" spans="1:23" ht="42" customHeight="1">
      <c r="A28" s="34" t="s">
        <v>56</v>
      </c>
      <c r="B28" s="35" t="s">
        <v>57</v>
      </c>
      <c r="C28" s="31">
        <v>0</v>
      </c>
      <c r="D28" s="31">
        <f>80.065060752/1000</f>
        <v>0.080065060752</v>
      </c>
      <c r="E28" s="31">
        <f t="shared" si="4"/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6">
        <v>0</v>
      </c>
      <c r="L28" s="31">
        <f t="shared" si="13"/>
        <v>0.080065060752</v>
      </c>
      <c r="M28" s="31">
        <v>0</v>
      </c>
      <c r="N28" s="31">
        <f t="shared" si="6"/>
        <v>0</v>
      </c>
      <c r="O28" s="26">
        <f t="shared" si="7"/>
        <v>0</v>
      </c>
      <c r="P28" s="26">
        <f t="shared" si="8"/>
        <v>0</v>
      </c>
      <c r="Q28" s="26">
        <f t="shared" si="9"/>
        <v>0</v>
      </c>
      <c r="R28" s="26">
        <f t="shared" si="10"/>
        <v>0.080065060752</v>
      </c>
      <c r="S28" s="31">
        <f t="shared" si="11"/>
        <v>-0.080065060752</v>
      </c>
      <c r="T28" s="37">
        <f t="shared" si="1"/>
        <v>-100</v>
      </c>
      <c r="U28" s="31">
        <f t="shared" si="12"/>
        <v>-0.080065060752</v>
      </c>
      <c r="V28" s="22"/>
      <c r="W28" s="27"/>
    </row>
    <row r="29" spans="1:23" ht="41.25" customHeight="1">
      <c r="A29" s="34" t="s">
        <v>58</v>
      </c>
      <c r="B29" s="35" t="s">
        <v>59</v>
      </c>
      <c r="C29" s="31">
        <v>0</v>
      </c>
      <c r="D29" s="31">
        <f>113.033026944/1000</f>
        <v>0.113033026944</v>
      </c>
      <c r="E29" s="31">
        <f t="shared" si="4"/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6">
        <v>0</v>
      </c>
      <c r="L29" s="31">
        <f t="shared" si="13"/>
        <v>0.113033026944</v>
      </c>
      <c r="M29" s="31">
        <v>0</v>
      </c>
      <c r="N29" s="31">
        <f t="shared" si="6"/>
        <v>0</v>
      </c>
      <c r="O29" s="26">
        <f t="shared" si="7"/>
        <v>0</v>
      </c>
      <c r="P29" s="26">
        <f t="shared" si="8"/>
        <v>0</v>
      </c>
      <c r="Q29" s="26">
        <f t="shared" si="9"/>
        <v>0</v>
      </c>
      <c r="R29" s="26">
        <f t="shared" si="10"/>
        <v>0.113033026944</v>
      </c>
      <c r="S29" s="31">
        <f t="shared" si="11"/>
        <v>-0.113033026944</v>
      </c>
      <c r="T29" s="37">
        <f t="shared" si="1"/>
        <v>-100</v>
      </c>
      <c r="U29" s="31">
        <f t="shared" si="12"/>
        <v>-0.113033026944</v>
      </c>
      <c r="V29" s="22"/>
      <c r="W29" s="27"/>
    </row>
    <row r="30" spans="1:23" ht="39.75" customHeight="1">
      <c r="A30" s="34" t="s">
        <v>60</v>
      </c>
      <c r="B30" s="35" t="s">
        <v>61</v>
      </c>
      <c r="C30" s="31">
        <v>0</v>
      </c>
      <c r="D30" s="31">
        <f>51.806804016/1000</f>
        <v>0.051806804016</v>
      </c>
      <c r="E30" s="31">
        <f t="shared" si="4"/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6">
        <v>0</v>
      </c>
      <c r="L30" s="31">
        <f t="shared" si="13"/>
        <v>0.051806804016</v>
      </c>
      <c r="M30" s="31">
        <v>0</v>
      </c>
      <c r="N30" s="31">
        <f t="shared" si="6"/>
        <v>0</v>
      </c>
      <c r="O30" s="26">
        <f t="shared" si="7"/>
        <v>0</v>
      </c>
      <c r="P30" s="26">
        <f t="shared" si="8"/>
        <v>0</v>
      </c>
      <c r="Q30" s="26">
        <f t="shared" si="9"/>
        <v>0</v>
      </c>
      <c r="R30" s="26">
        <f t="shared" si="10"/>
        <v>0.051806804016</v>
      </c>
      <c r="S30" s="31">
        <f t="shared" si="11"/>
        <v>-0.051806804016</v>
      </c>
      <c r="T30" s="37">
        <f t="shared" si="1"/>
        <v>-100</v>
      </c>
      <c r="U30" s="31">
        <f t="shared" si="12"/>
        <v>-0.051806804016</v>
      </c>
      <c r="V30" s="22"/>
      <c r="W30" s="27"/>
    </row>
    <row r="31" spans="1:23" ht="38.25" customHeight="1">
      <c r="A31" s="34" t="s">
        <v>62</v>
      </c>
      <c r="B31" s="35" t="s">
        <v>63</v>
      </c>
      <c r="C31" s="31">
        <v>0</v>
      </c>
      <c r="D31" s="31">
        <f>141.29128368/1000</f>
        <v>0.14129128368</v>
      </c>
      <c r="E31" s="31">
        <f t="shared" si="4"/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6">
        <v>0</v>
      </c>
      <c r="L31" s="31">
        <f t="shared" si="13"/>
        <v>0.14129128368</v>
      </c>
      <c r="M31" s="31">
        <v>0</v>
      </c>
      <c r="N31" s="31">
        <f t="shared" si="6"/>
        <v>0</v>
      </c>
      <c r="O31" s="26">
        <f t="shared" si="7"/>
        <v>0</v>
      </c>
      <c r="P31" s="26">
        <f t="shared" si="8"/>
        <v>0</v>
      </c>
      <c r="Q31" s="26">
        <f t="shared" si="9"/>
        <v>0</v>
      </c>
      <c r="R31" s="26">
        <f t="shared" si="10"/>
        <v>0.14129128368</v>
      </c>
      <c r="S31" s="31">
        <f t="shared" si="11"/>
        <v>-0.14129128368</v>
      </c>
      <c r="T31" s="37">
        <f t="shared" si="1"/>
        <v>-100</v>
      </c>
      <c r="U31" s="31">
        <f t="shared" si="12"/>
        <v>-0.14129128368</v>
      </c>
      <c r="V31" s="22"/>
      <c r="W31" s="27"/>
    </row>
    <row r="32" spans="1:23" ht="38.25" customHeight="1">
      <c r="A32" s="34" t="s">
        <v>64</v>
      </c>
      <c r="B32" s="35" t="s">
        <v>65</v>
      </c>
      <c r="C32" s="31">
        <v>0</v>
      </c>
      <c r="D32" s="31">
        <f>117.7427364/1000</f>
        <v>0.11774273639999999</v>
      </c>
      <c r="E32" s="31">
        <f t="shared" si="4"/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6">
        <v>0</v>
      </c>
      <c r="L32" s="31">
        <f t="shared" si="13"/>
        <v>0.11774273639999999</v>
      </c>
      <c r="M32" s="31">
        <v>0</v>
      </c>
      <c r="N32" s="31">
        <f t="shared" si="6"/>
        <v>0</v>
      </c>
      <c r="O32" s="26">
        <f t="shared" si="7"/>
        <v>0</v>
      </c>
      <c r="P32" s="26">
        <f t="shared" si="8"/>
        <v>0</v>
      </c>
      <c r="Q32" s="26">
        <f t="shared" si="9"/>
        <v>0</v>
      </c>
      <c r="R32" s="26">
        <f t="shared" si="10"/>
        <v>0.11774273639999999</v>
      </c>
      <c r="S32" s="31">
        <f t="shared" si="11"/>
        <v>-0.11774273639999999</v>
      </c>
      <c r="T32" s="37">
        <f t="shared" si="1"/>
        <v>-100</v>
      </c>
      <c r="U32" s="31">
        <f t="shared" si="12"/>
        <v>-0.11774273639999999</v>
      </c>
      <c r="V32" s="22"/>
      <c r="W32" s="27"/>
    </row>
    <row r="33" spans="1:23" ht="40.5" customHeight="1">
      <c r="A33" s="34" t="s">
        <v>66</v>
      </c>
      <c r="B33" s="35" t="s">
        <v>67</v>
      </c>
      <c r="C33" s="31">
        <v>0</v>
      </c>
      <c r="D33" s="31">
        <f>39.5615594304/1000</f>
        <v>0.0395615594304</v>
      </c>
      <c r="E33" s="31">
        <f t="shared" si="4"/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6">
        <v>0</v>
      </c>
      <c r="L33" s="31">
        <f t="shared" si="13"/>
        <v>0.0395615594304</v>
      </c>
      <c r="M33" s="31">
        <v>0</v>
      </c>
      <c r="N33" s="31">
        <f t="shared" si="6"/>
        <v>0</v>
      </c>
      <c r="O33" s="26">
        <f t="shared" si="7"/>
        <v>0</v>
      </c>
      <c r="P33" s="26">
        <f t="shared" si="8"/>
        <v>0</v>
      </c>
      <c r="Q33" s="26">
        <f t="shared" si="9"/>
        <v>0</v>
      </c>
      <c r="R33" s="26">
        <f t="shared" si="10"/>
        <v>0.0395615594304</v>
      </c>
      <c r="S33" s="31">
        <f t="shared" si="11"/>
        <v>-0.0395615594304</v>
      </c>
      <c r="T33" s="37">
        <f t="shared" si="1"/>
        <v>-100</v>
      </c>
      <c r="U33" s="31">
        <f t="shared" si="12"/>
        <v>-0.0395615594304</v>
      </c>
      <c r="V33" s="22"/>
      <c r="W33" s="27"/>
    </row>
    <row r="34" spans="1:23" ht="37.5" customHeight="1">
      <c r="A34" s="34" t="s">
        <v>68</v>
      </c>
      <c r="B34" s="35" t="s">
        <v>69</v>
      </c>
      <c r="C34" s="31">
        <v>0</v>
      </c>
      <c r="D34" s="31">
        <f>23.54854728/1000</f>
        <v>0.023548547280000002</v>
      </c>
      <c r="E34" s="31">
        <f t="shared" si="4"/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6">
        <v>0</v>
      </c>
      <c r="L34" s="31">
        <f t="shared" si="13"/>
        <v>0.023548547280000002</v>
      </c>
      <c r="M34" s="31">
        <v>0</v>
      </c>
      <c r="N34" s="31">
        <f t="shared" si="6"/>
        <v>0</v>
      </c>
      <c r="O34" s="26">
        <f t="shared" si="7"/>
        <v>0</v>
      </c>
      <c r="P34" s="26">
        <f t="shared" si="8"/>
        <v>0</v>
      </c>
      <c r="Q34" s="26">
        <f t="shared" si="9"/>
        <v>0</v>
      </c>
      <c r="R34" s="26">
        <f t="shared" si="10"/>
        <v>0.023548547280000002</v>
      </c>
      <c r="S34" s="31">
        <f t="shared" si="11"/>
        <v>-0.023548547280000002</v>
      </c>
      <c r="T34" s="37">
        <f t="shared" si="1"/>
        <v>-100</v>
      </c>
      <c r="U34" s="31">
        <f t="shared" si="12"/>
        <v>-0.023548547280000002</v>
      </c>
      <c r="V34" s="22"/>
      <c r="W34" s="27"/>
    </row>
    <row r="35" spans="1:23" ht="39.75" customHeight="1">
      <c r="A35" s="34" t="s">
        <v>70</v>
      </c>
      <c r="B35" s="35" t="s">
        <v>71</v>
      </c>
      <c r="C35" s="31">
        <v>0</v>
      </c>
      <c r="D35" s="31">
        <f>131.871864768/1000</f>
        <v>0.131871864768</v>
      </c>
      <c r="E35" s="31">
        <f t="shared" si="4"/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6">
        <v>0</v>
      </c>
      <c r="L35" s="31">
        <f t="shared" si="13"/>
        <v>0.131871864768</v>
      </c>
      <c r="M35" s="31">
        <v>0</v>
      </c>
      <c r="N35" s="31">
        <f t="shared" si="6"/>
        <v>0</v>
      </c>
      <c r="O35" s="26">
        <f t="shared" si="7"/>
        <v>0</v>
      </c>
      <c r="P35" s="26">
        <f t="shared" si="8"/>
        <v>0</v>
      </c>
      <c r="Q35" s="26">
        <f t="shared" si="9"/>
        <v>0</v>
      </c>
      <c r="R35" s="26">
        <f t="shared" si="10"/>
        <v>0.131871864768</v>
      </c>
      <c r="S35" s="31">
        <f t="shared" si="11"/>
        <v>-0.131871864768</v>
      </c>
      <c r="T35" s="37">
        <f t="shared" si="1"/>
        <v>-100</v>
      </c>
      <c r="U35" s="31">
        <f t="shared" si="12"/>
        <v>-0.131871864768</v>
      </c>
      <c r="V35" s="22"/>
      <c r="W35" s="27"/>
    </row>
    <row r="36" spans="1:23" ht="36" customHeight="1">
      <c r="A36" s="34" t="s">
        <v>72</v>
      </c>
      <c r="B36" s="35" t="s">
        <v>73</v>
      </c>
      <c r="C36" s="31">
        <v>0</v>
      </c>
      <c r="D36" s="31">
        <f>292.001986272/1000</f>
        <v>0.292001986272</v>
      </c>
      <c r="E36" s="31">
        <f t="shared" si="4"/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6">
        <v>0</v>
      </c>
      <c r="L36" s="31">
        <f t="shared" si="13"/>
        <v>0.292001986272</v>
      </c>
      <c r="M36" s="31">
        <v>0</v>
      </c>
      <c r="N36" s="31">
        <f t="shared" si="6"/>
        <v>0</v>
      </c>
      <c r="O36" s="26">
        <f t="shared" si="7"/>
        <v>0</v>
      </c>
      <c r="P36" s="26">
        <f t="shared" si="8"/>
        <v>0</v>
      </c>
      <c r="Q36" s="26">
        <f t="shared" si="9"/>
        <v>0</v>
      </c>
      <c r="R36" s="26">
        <f t="shared" si="10"/>
        <v>0.292001986272</v>
      </c>
      <c r="S36" s="31">
        <f t="shared" si="11"/>
        <v>-0.292001986272</v>
      </c>
      <c r="T36" s="37">
        <f t="shared" si="1"/>
        <v>-100</v>
      </c>
      <c r="U36" s="31">
        <f t="shared" si="12"/>
        <v>-0.292001986272</v>
      </c>
      <c r="V36" s="22"/>
      <c r="W36" s="27"/>
    </row>
    <row r="37" spans="1:23" ht="42" customHeight="1">
      <c r="A37" s="34" t="s">
        <v>74</v>
      </c>
      <c r="B37" s="35" t="s">
        <v>75</v>
      </c>
      <c r="C37" s="31">
        <v>0</v>
      </c>
      <c r="D37" s="31">
        <f>94.19418912/1000</f>
        <v>0.09419418912000001</v>
      </c>
      <c r="E37" s="31">
        <f t="shared" si="4"/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6">
        <v>0</v>
      </c>
      <c r="L37" s="31">
        <f t="shared" si="13"/>
        <v>0.09419418912000001</v>
      </c>
      <c r="M37" s="31">
        <v>0</v>
      </c>
      <c r="N37" s="31">
        <f t="shared" si="6"/>
        <v>0</v>
      </c>
      <c r="O37" s="26">
        <f t="shared" si="7"/>
        <v>0</v>
      </c>
      <c r="P37" s="26">
        <f t="shared" si="8"/>
        <v>0</v>
      </c>
      <c r="Q37" s="26">
        <f t="shared" si="9"/>
        <v>0</v>
      </c>
      <c r="R37" s="26">
        <f t="shared" si="10"/>
        <v>0.09419418912000001</v>
      </c>
      <c r="S37" s="31">
        <f t="shared" si="11"/>
        <v>-0.09419418912000001</v>
      </c>
      <c r="T37" s="37">
        <f t="shared" si="1"/>
        <v>-100</v>
      </c>
      <c r="U37" s="31">
        <f t="shared" si="12"/>
        <v>-0.09419418912000001</v>
      </c>
      <c r="V37" s="22"/>
      <c r="W37" s="27"/>
    </row>
    <row r="38" spans="1:23" ht="41.25" customHeight="1">
      <c r="A38" s="34" t="s">
        <v>76</v>
      </c>
      <c r="B38" s="35" t="s">
        <v>77</v>
      </c>
      <c r="C38" s="31">
        <v>0</v>
      </c>
      <c r="D38" s="31">
        <f>131.871864768/1000</f>
        <v>0.131871864768</v>
      </c>
      <c r="E38" s="31">
        <f t="shared" si="4"/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6">
        <v>0</v>
      </c>
      <c r="L38" s="31">
        <f t="shared" si="13"/>
        <v>0.131871864768</v>
      </c>
      <c r="M38" s="31">
        <v>0</v>
      </c>
      <c r="N38" s="31">
        <f t="shared" si="6"/>
        <v>0</v>
      </c>
      <c r="O38" s="26">
        <f t="shared" si="7"/>
        <v>0</v>
      </c>
      <c r="P38" s="26">
        <f t="shared" si="8"/>
        <v>0</v>
      </c>
      <c r="Q38" s="26">
        <f t="shared" si="9"/>
        <v>0</v>
      </c>
      <c r="R38" s="26">
        <f t="shared" si="10"/>
        <v>0.131871864768</v>
      </c>
      <c r="S38" s="31">
        <f t="shared" si="11"/>
        <v>-0.131871864768</v>
      </c>
      <c r="T38" s="37">
        <f t="shared" si="1"/>
        <v>-100</v>
      </c>
      <c r="U38" s="31">
        <f t="shared" si="12"/>
        <v>-0.131871864768</v>
      </c>
      <c r="V38" s="22"/>
      <c r="W38" s="27"/>
    </row>
    <row r="39" spans="1:23" ht="45.75" customHeight="1">
      <c r="A39" s="34" t="s">
        <v>78</v>
      </c>
      <c r="B39" s="35" t="s">
        <v>79</v>
      </c>
      <c r="C39" s="31">
        <v>0</v>
      </c>
      <c r="D39" s="31">
        <f>188.38837824/1000</f>
        <v>0.18838837824000002</v>
      </c>
      <c r="E39" s="31">
        <f t="shared" si="4"/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6">
        <v>0</v>
      </c>
      <c r="L39" s="31">
        <f t="shared" si="13"/>
        <v>0.18838837824000002</v>
      </c>
      <c r="M39" s="31">
        <v>0</v>
      </c>
      <c r="N39" s="31">
        <f t="shared" si="6"/>
        <v>0</v>
      </c>
      <c r="O39" s="26">
        <f t="shared" si="7"/>
        <v>0</v>
      </c>
      <c r="P39" s="26">
        <f t="shared" si="8"/>
        <v>0</v>
      </c>
      <c r="Q39" s="26">
        <f t="shared" si="9"/>
        <v>0</v>
      </c>
      <c r="R39" s="26">
        <f t="shared" si="10"/>
        <v>0.18838837824000002</v>
      </c>
      <c r="S39" s="31">
        <f t="shared" si="11"/>
        <v>-0.18838837824000002</v>
      </c>
      <c r="T39" s="37">
        <f t="shared" si="1"/>
        <v>-100</v>
      </c>
      <c r="U39" s="31">
        <f t="shared" si="12"/>
        <v>-0.18838837824000002</v>
      </c>
      <c r="V39" s="22"/>
      <c r="W39" s="27"/>
    </row>
    <row r="40" spans="1:23" ht="41.25" customHeight="1">
      <c r="A40" s="34" t="s">
        <v>80</v>
      </c>
      <c r="B40" s="35" t="s">
        <v>81</v>
      </c>
      <c r="C40" s="31">
        <v>0</v>
      </c>
      <c r="D40" s="31">
        <f>56.516513472/1000</f>
        <v>0.056516513472</v>
      </c>
      <c r="E40" s="31">
        <f t="shared" si="4"/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6">
        <v>0</v>
      </c>
      <c r="L40" s="31">
        <f t="shared" si="13"/>
        <v>0.056516513472</v>
      </c>
      <c r="M40" s="31">
        <v>0</v>
      </c>
      <c r="N40" s="31">
        <f t="shared" si="6"/>
        <v>0</v>
      </c>
      <c r="O40" s="26">
        <f t="shared" si="7"/>
        <v>0</v>
      </c>
      <c r="P40" s="26">
        <f t="shared" si="8"/>
        <v>0</v>
      </c>
      <c r="Q40" s="26">
        <f t="shared" si="9"/>
        <v>0</v>
      </c>
      <c r="R40" s="26">
        <f t="shared" si="10"/>
        <v>0.056516513472</v>
      </c>
      <c r="S40" s="31">
        <f t="shared" si="11"/>
        <v>-0.056516513472</v>
      </c>
      <c r="T40" s="37">
        <f t="shared" si="1"/>
        <v>-100</v>
      </c>
      <c r="U40" s="31">
        <f t="shared" si="12"/>
        <v>-0.056516513472</v>
      </c>
      <c r="V40" s="22"/>
      <c r="W40" s="27"/>
    </row>
    <row r="41" spans="1:23" ht="42" customHeight="1">
      <c r="A41" s="34" t="s">
        <v>82</v>
      </c>
      <c r="B41" s="35" t="s">
        <v>83</v>
      </c>
      <c r="C41" s="31">
        <v>0</v>
      </c>
      <c r="D41" s="31">
        <f>75.355351296/1000</f>
        <v>0.07535535129599999</v>
      </c>
      <c r="E41" s="31">
        <f t="shared" si="4"/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6">
        <v>0</v>
      </c>
      <c r="L41" s="31">
        <f t="shared" si="13"/>
        <v>0.07535535129599999</v>
      </c>
      <c r="M41" s="31">
        <v>0</v>
      </c>
      <c r="N41" s="31">
        <f t="shared" si="6"/>
        <v>0</v>
      </c>
      <c r="O41" s="26">
        <f t="shared" si="7"/>
        <v>0</v>
      </c>
      <c r="P41" s="26">
        <f t="shared" si="8"/>
        <v>0</v>
      </c>
      <c r="Q41" s="26">
        <f t="shared" si="9"/>
        <v>0</v>
      </c>
      <c r="R41" s="26">
        <f t="shared" si="10"/>
        <v>0.07535535129599999</v>
      </c>
      <c r="S41" s="31">
        <f t="shared" si="11"/>
        <v>-0.07535535129599999</v>
      </c>
      <c r="T41" s="37">
        <f t="shared" si="1"/>
        <v>-100</v>
      </c>
      <c r="U41" s="31">
        <f t="shared" si="12"/>
        <v>-0.07535535129599999</v>
      </c>
      <c r="V41" s="22"/>
      <c r="W41" s="27"/>
    </row>
    <row r="42" spans="1:23" ht="44.25" customHeight="1">
      <c r="A42" s="34" t="s">
        <v>84</v>
      </c>
      <c r="B42" s="35" t="s">
        <v>85</v>
      </c>
      <c r="C42" s="31">
        <v>0</v>
      </c>
      <c r="D42" s="31">
        <f>207.227216064/1000</f>
        <v>0.207227216064</v>
      </c>
      <c r="E42" s="31">
        <f t="shared" si="4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6">
        <v>0</v>
      </c>
      <c r="L42" s="31">
        <f t="shared" si="13"/>
        <v>0.207227216064</v>
      </c>
      <c r="M42" s="31">
        <v>0</v>
      </c>
      <c r="N42" s="31">
        <f t="shared" si="6"/>
        <v>0</v>
      </c>
      <c r="O42" s="26">
        <f t="shared" si="7"/>
        <v>0</v>
      </c>
      <c r="P42" s="26">
        <f t="shared" si="8"/>
        <v>0</v>
      </c>
      <c r="Q42" s="26">
        <f t="shared" si="9"/>
        <v>0</v>
      </c>
      <c r="R42" s="26">
        <f t="shared" si="10"/>
        <v>0.207227216064</v>
      </c>
      <c r="S42" s="31">
        <f t="shared" si="11"/>
        <v>-0.207227216064</v>
      </c>
      <c r="T42" s="37">
        <f t="shared" si="1"/>
        <v>-100</v>
      </c>
      <c r="U42" s="31">
        <f t="shared" si="12"/>
        <v>-0.207227216064</v>
      </c>
      <c r="V42" s="22"/>
      <c r="W42" s="27"/>
    </row>
    <row r="43" spans="1:23" ht="41.25" customHeight="1">
      <c r="A43" s="34" t="s">
        <v>86</v>
      </c>
      <c r="B43" s="35" t="s">
        <v>87</v>
      </c>
      <c r="C43" s="31">
        <v>0</v>
      </c>
      <c r="D43" s="31">
        <f>37.677675648/1000</f>
        <v>0.037677675647999995</v>
      </c>
      <c r="E43" s="31">
        <f t="shared" si="4"/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6">
        <v>0</v>
      </c>
      <c r="L43" s="31">
        <f t="shared" si="13"/>
        <v>0.037677675647999995</v>
      </c>
      <c r="M43" s="31">
        <v>0</v>
      </c>
      <c r="N43" s="31">
        <f t="shared" si="6"/>
        <v>0</v>
      </c>
      <c r="O43" s="26">
        <f t="shared" si="7"/>
        <v>0</v>
      </c>
      <c r="P43" s="26">
        <f t="shared" si="8"/>
        <v>0</v>
      </c>
      <c r="Q43" s="26">
        <f t="shared" si="9"/>
        <v>0</v>
      </c>
      <c r="R43" s="26">
        <f t="shared" si="10"/>
        <v>0.037677675647999995</v>
      </c>
      <c r="S43" s="31">
        <f t="shared" si="11"/>
        <v>-0.037677675647999995</v>
      </c>
      <c r="T43" s="37">
        <f t="shared" si="1"/>
        <v>-100</v>
      </c>
      <c r="U43" s="31">
        <f t="shared" si="12"/>
        <v>-0.037677675647999995</v>
      </c>
      <c r="V43" s="22"/>
      <c r="W43" s="27"/>
    </row>
    <row r="44" spans="1:23" ht="33" customHeight="1">
      <c r="A44" s="34" t="s">
        <v>88</v>
      </c>
      <c r="B44" s="35" t="s">
        <v>89</v>
      </c>
      <c r="C44" s="31">
        <v>0</v>
      </c>
      <c r="D44" s="31">
        <f>51.806804016/1000</f>
        <v>0.051806804016</v>
      </c>
      <c r="E44" s="31">
        <f t="shared" si="4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6">
        <v>0</v>
      </c>
      <c r="L44" s="31">
        <f t="shared" si="13"/>
        <v>0.051806804016</v>
      </c>
      <c r="M44" s="31">
        <v>0</v>
      </c>
      <c r="N44" s="31">
        <f t="shared" si="6"/>
        <v>0</v>
      </c>
      <c r="O44" s="26">
        <f t="shared" si="7"/>
        <v>0</v>
      </c>
      <c r="P44" s="26">
        <f t="shared" si="8"/>
        <v>0</v>
      </c>
      <c r="Q44" s="26">
        <f t="shared" si="9"/>
        <v>0</v>
      </c>
      <c r="R44" s="26">
        <f t="shared" si="10"/>
        <v>0.051806804016</v>
      </c>
      <c r="S44" s="31">
        <f t="shared" si="11"/>
        <v>-0.051806804016</v>
      </c>
      <c r="T44" s="37">
        <f t="shared" si="1"/>
        <v>-100</v>
      </c>
      <c r="U44" s="31">
        <f t="shared" si="12"/>
        <v>-0.051806804016</v>
      </c>
      <c r="V44" s="22"/>
      <c r="W44" s="27"/>
    </row>
    <row r="45" spans="1:23" ht="43.5" customHeight="1">
      <c r="A45" s="34" t="s">
        <v>90</v>
      </c>
      <c r="B45" s="35" t="s">
        <v>91</v>
      </c>
      <c r="C45" s="31">
        <v>0</v>
      </c>
      <c r="D45" s="31">
        <f>150.710702592/1000</f>
        <v>0.15071070259199998</v>
      </c>
      <c r="E45" s="31">
        <f t="shared" si="4"/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6">
        <v>0</v>
      </c>
      <c r="L45" s="31">
        <f t="shared" si="13"/>
        <v>0.15071070259199998</v>
      </c>
      <c r="M45" s="31">
        <v>0</v>
      </c>
      <c r="N45" s="31">
        <f t="shared" si="6"/>
        <v>0</v>
      </c>
      <c r="O45" s="26">
        <f t="shared" si="7"/>
        <v>0</v>
      </c>
      <c r="P45" s="26">
        <f t="shared" si="8"/>
        <v>0</v>
      </c>
      <c r="Q45" s="26">
        <f t="shared" si="9"/>
        <v>0</v>
      </c>
      <c r="R45" s="26">
        <f t="shared" si="10"/>
        <v>0.15071070259199998</v>
      </c>
      <c r="S45" s="31">
        <f t="shared" si="11"/>
        <v>-0.15071070259199998</v>
      </c>
      <c r="T45" s="37">
        <f t="shared" si="1"/>
        <v>-100</v>
      </c>
      <c r="U45" s="31">
        <f t="shared" si="12"/>
        <v>-0.15071070259199998</v>
      </c>
      <c r="V45" s="22"/>
      <c r="W45" s="27"/>
    </row>
    <row r="46" spans="1:23" ht="39.75" customHeight="1">
      <c r="A46" s="34" t="s">
        <v>92</v>
      </c>
      <c r="B46" s="35" t="s">
        <v>93</v>
      </c>
      <c r="C46" s="31">
        <v>0</v>
      </c>
      <c r="D46" s="31">
        <f>122.452445856/1000</f>
        <v>0.122452445856</v>
      </c>
      <c r="E46" s="31">
        <f t="shared" si="4"/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6">
        <v>0</v>
      </c>
      <c r="L46" s="31">
        <f t="shared" si="13"/>
        <v>0.122452445856</v>
      </c>
      <c r="M46" s="31">
        <v>0</v>
      </c>
      <c r="N46" s="31">
        <f t="shared" si="6"/>
        <v>0</v>
      </c>
      <c r="O46" s="26">
        <f t="shared" si="7"/>
        <v>0</v>
      </c>
      <c r="P46" s="26">
        <f t="shared" si="8"/>
        <v>0</v>
      </c>
      <c r="Q46" s="26">
        <f t="shared" si="9"/>
        <v>0</v>
      </c>
      <c r="R46" s="26">
        <f t="shared" si="10"/>
        <v>0.122452445856</v>
      </c>
      <c r="S46" s="31">
        <f t="shared" si="11"/>
        <v>-0.122452445856</v>
      </c>
      <c r="T46" s="37">
        <f t="shared" si="1"/>
        <v>-100</v>
      </c>
      <c r="U46" s="31">
        <f t="shared" si="12"/>
        <v>-0.122452445856</v>
      </c>
      <c r="V46" s="22"/>
      <c r="W46" s="27"/>
    </row>
    <row r="47" spans="1:23" ht="42" customHeight="1">
      <c r="A47" s="34" t="s">
        <v>94</v>
      </c>
      <c r="B47" s="35" t="s">
        <v>95</v>
      </c>
      <c r="C47" s="31">
        <v>0</v>
      </c>
      <c r="D47" s="31">
        <f>146.000993136/1000</f>
        <v>0.146000993136</v>
      </c>
      <c r="E47" s="31">
        <f t="shared" si="4"/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6">
        <v>0</v>
      </c>
      <c r="L47" s="31">
        <f t="shared" si="13"/>
        <v>0.146000993136</v>
      </c>
      <c r="M47" s="31">
        <v>0</v>
      </c>
      <c r="N47" s="31">
        <f t="shared" si="6"/>
        <v>0</v>
      </c>
      <c r="O47" s="26">
        <f t="shared" si="7"/>
        <v>0</v>
      </c>
      <c r="P47" s="26">
        <f t="shared" si="8"/>
        <v>0</v>
      </c>
      <c r="Q47" s="26">
        <f t="shared" si="9"/>
        <v>0</v>
      </c>
      <c r="R47" s="26">
        <f t="shared" si="10"/>
        <v>0.146000993136</v>
      </c>
      <c r="S47" s="31">
        <f t="shared" si="11"/>
        <v>-0.146000993136</v>
      </c>
      <c r="T47" s="37">
        <f t="shared" si="1"/>
        <v>-100</v>
      </c>
      <c r="U47" s="31">
        <f t="shared" si="12"/>
        <v>-0.146000993136</v>
      </c>
      <c r="V47" s="22"/>
      <c r="W47" s="27"/>
    </row>
    <row r="48" spans="1:23" ht="45.75" customHeight="1">
      <c r="A48" s="34" t="s">
        <v>96</v>
      </c>
      <c r="B48" s="35" t="s">
        <v>97</v>
      </c>
      <c r="C48" s="31">
        <v>0</v>
      </c>
      <c r="D48" s="31">
        <f>273.163148448/1000</f>
        <v>0.273163148448</v>
      </c>
      <c r="E48" s="31">
        <f t="shared" si="4"/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6">
        <v>0</v>
      </c>
      <c r="L48" s="31">
        <f t="shared" si="13"/>
        <v>0.273163148448</v>
      </c>
      <c r="M48" s="31">
        <v>0</v>
      </c>
      <c r="N48" s="31">
        <f t="shared" si="6"/>
        <v>0</v>
      </c>
      <c r="O48" s="26">
        <f t="shared" si="7"/>
        <v>0</v>
      </c>
      <c r="P48" s="26">
        <f t="shared" si="8"/>
        <v>0</v>
      </c>
      <c r="Q48" s="26">
        <f t="shared" si="9"/>
        <v>0</v>
      </c>
      <c r="R48" s="26">
        <f t="shared" si="10"/>
        <v>0.273163148448</v>
      </c>
      <c r="S48" s="31">
        <f t="shared" si="11"/>
        <v>-0.273163148448</v>
      </c>
      <c r="T48" s="37">
        <f aca="true" t="shared" si="14" ref="T48:T72">(E48-D48)/D48*100</f>
        <v>-100</v>
      </c>
      <c r="U48" s="31">
        <f t="shared" si="12"/>
        <v>-0.273163148448</v>
      </c>
      <c r="V48" s="22"/>
      <c r="W48" s="27"/>
    </row>
    <row r="49" spans="1:23" ht="40.5" customHeight="1">
      <c r="A49" s="34" t="s">
        <v>98</v>
      </c>
      <c r="B49" s="35" t="s">
        <v>99</v>
      </c>
      <c r="C49" s="31">
        <v>0</v>
      </c>
      <c r="D49" s="31">
        <f>329.67966192/1000</f>
        <v>0.32967966192</v>
      </c>
      <c r="E49" s="31">
        <f t="shared" si="4"/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6">
        <v>0</v>
      </c>
      <c r="L49" s="31">
        <f t="shared" si="13"/>
        <v>0.32967966192</v>
      </c>
      <c r="M49" s="31">
        <v>0</v>
      </c>
      <c r="N49" s="31">
        <f t="shared" si="6"/>
        <v>0</v>
      </c>
      <c r="O49" s="26">
        <f t="shared" si="7"/>
        <v>0</v>
      </c>
      <c r="P49" s="26">
        <f t="shared" si="8"/>
        <v>0</v>
      </c>
      <c r="Q49" s="26">
        <f t="shared" si="9"/>
        <v>0</v>
      </c>
      <c r="R49" s="26">
        <f t="shared" si="10"/>
        <v>0.32967966192</v>
      </c>
      <c r="S49" s="31">
        <f t="shared" si="11"/>
        <v>-0.32967966192</v>
      </c>
      <c r="T49" s="37">
        <f t="shared" si="14"/>
        <v>-100</v>
      </c>
      <c r="U49" s="31">
        <f t="shared" si="12"/>
        <v>-0.32967966192</v>
      </c>
      <c r="V49" s="22"/>
      <c r="W49" s="27"/>
    </row>
    <row r="50" spans="1:23" ht="39" customHeight="1">
      <c r="A50" s="34" t="s">
        <v>100</v>
      </c>
      <c r="B50" s="35" t="s">
        <v>101</v>
      </c>
      <c r="C50" s="31">
        <v>0</v>
      </c>
      <c r="D50" s="31">
        <f>70.64564184/1000</f>
        <v>0.07064564184</v>
      </c>
      <c r="E50" s="31">
        <f t="shared" si="4"/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6">
        <v>0</v>
      </c>
      <c r="L50" s="31">
        <f t="shared" si="13"/>
        <v>0.07064564184</v>
      </c>
      <c r="M50" s="31">
        <v>0</v>
      </c>
      <c r="N50" s="31">
        <f t="shared" si="6"/>
        <v>0</v>
      </c>
      <c r="O50" s="26">
        <f t="shared" si="7"/>
        <v>0</v>
      </c>
      <c r="P50" s="26">
        <f t="shared" si="8"/>
        <v>0</v>
      </c>
      <c r="Q50" s="26">
        <f t="shared" si="9"/>
        <v>0</v>
      </c>
      <c r="R50" s="26">
        <f t="shared" si="10"/>
        <v>0.07064564184</v>
      </c>
      <c r="S50" s="31">
        <f t="shared" si="11"/>
        <v>-0.07064564184</v>
      </c>
      <c r="T50" s="37">
        <f t="shared" si="14"/>
        <v>-100</v>
      </c>
      <c r="U50" s="31">
        <f t="shared" si="12"/>
        <v>-0.07064564184</v>
      </c>
      <c r="V50" s="22"/>
      <c r="W50" s="27"/>
    </row>
    <row r="51" spans="1:23" ht="42.75" customHeight="1">
      <c r="A51" s="34" t="s">
        <v>102</v>
      </c>
      <c r="B51" s="35" t="s">
        <v>103</v>
      </c>
      <c r="C51" s="31">
        <v>0</v>
      </c>
      <c r="D51" s="31">
        <f>103.613608032/1000</f>
        <v>0.103613608032</v>
      </c>
      <c r="E51" s="31">
        <f aca="true" t="shared" si="15" ref="E51:E82">G51+I51+K51+M51</f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6">
        <v>0</v>
      </c>
      <c r="L51" s="31">
        <f t="shared" si="13"/>
        <v>0.103613608032</v>
      </c>
      <c r="M51" s="31">
        <v>0</v>
      </c>
      <c r="N51" s="31">
        <f aca="true" t="shared" si="16" ref="N51:N82">E51</f>
        <v>0</v>
      </c>
      <c r="O51" s="26">
        <f aca="true" t="shared" si="17" ref="O51:O82">M51</f>
        <v>0</v>
      </c>
      <c r="P51" s="26">
        <f aca="true" t="shared" si="18" ref="P51:P82">N51</f>
        <v>0</v>
      </c>
      <c r="Q51" s="26">
        <f aca="true" t="shared" si="19" ref="Q51:Q82">O51</f>
        <v>0</v>
      </c>
      <c r="R51" s="26">
        <f aca="true" t="shared" si="20" ref="R51:R82">D51-E51</f>
        <v>0.103613608032</v>
      </c>
      <c r="S51" s="31">
        <f aca="true" t="shared" si="21" ref="S51:S82">E51-D51</f>
        <v>-0.103613608032</v>
      </c>
      <c r="T51" s="37">
        <f t="shared" si="14"/>
        <v>-100</v>
      </c>
      <c r="U51" s="31">
        <f aca="true" t="shared" si="22" ref="U51:U82">S51</f>
        <v>-0.103613608032</v>
      </c>
      <c r="V51" s="22"/>
      <c r="W51" s="27"/>
    </row>
    <row r="52" spans="1:23" ht="38.25" customHeight="1">
      <c r="A52" s="34" t="s">
        <v>104</v>
      </c>
      <c r="B52" s="35" t="s">
        <v>105</v>
      </c>
      <c r="C52" s="31">
        <v>0</v>
      </c>
      <c r="D52" s="31">
        <f>47.09709456/1000</f>
        <v>0.047097094560000004</v>
      </c>
      <c r="E52" s="31">
        <f t="shared" si="15"/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6">
        <v>0</v>
      </c>
      <c r="L52" s="31">
        <f t="shared" si="13"/>
        <v>0.047097094560000004</v>
      </c>
      <c r="M52" s="31">
        <v>0</v>
      </c>
      <c r="N52" s="31">
        <f t="shared" si="16"/>
        <v>0</v>
      </c>
      <c r="O52" s="26">
        <f t="shared" si="17"/>
        <v>0</v>
      </c>
      <c r="P52" s="26">
        <f t="shared" si="18"/>
        <v>0</v>
      </c>
      <c r="Q52" s="26">
        <f t="shared" si="19"/>
        <v>0</v>
      </c>
      <c r="R52" s="26">
        <f t="shared" si="20"/>
        <v>0.047097094560000004</v>
      </c>
      <c r="S52" s="31">
        <f t="shared" si="21"/>
        <v>-0.047097094560000004</v>
      </c>
      <c r="T52" s="37">
        <f t="shared" si="14"/>
        <v>-100</v>
      </c>
      <c r="U52" s="31">
        <f t="shared" si="22"/>
        <v>-0.047097094560000004</v>
      </c>
      <c r="V52" s="22"/>
      <c r="W52" s="27"/>
    </row>
    <row r="53" spans="1:23" ht="35.25" customHeight="1">
      <c r="A53" s="34" t="s">
        <v>106</v>
      </c>
      <c r="B53" s="35" t="s">
        <v>107</v>
      </c>
      <c r="C53" s="31">
        <v>0</v>
      </c>
      <c r="D53" s="31">
        <f>75.355351296/1000</f>
        <v>0.07535535129599999</v>
      </c>
      <c r="E53" s="31">
        <f t="shared" si="15"/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6">
        <v>0</v>
      </c>
      <c r="L53" s="31">
        <f t="shared" si="13"/>
        <v>0.07535535129599999</v>
      </c>
      <c r="M53" s="31">
        <v>0</v>
      </c>
      <c r="N53" s="31">
        <f t="shared" si="16"/>
        <v>0</v>
      </c>
      <c r="O53" s="26">
        <f t="shared" si="17"/>
        <v>0</v>
      </c>
      <c r="P53" s="26">
        <f t="shared" si="18"/>
        <v>0</v>
      </c>
      <c r="Q53" s="26">
        <f t="shared" si="19"/>
        <v>0</v>
      </c>
      <c r="R53" s="26">
        <f t="shared" si="20"/>
        <v>0.07535535129599999</v>
      </c>
      <c r="S53" s="31">
        <f t="shared" si="21"/>
        <v>-0.07535535129599999</v>
      </c>
      <c r="T53" s="37">
        <f t="shared" si="14"/>
        <v>-100</v>
      </c>
      <c r="U53" s="31">
        <f t="shared" si="22"/>
        <v>-0.07535535129599999</v>
      </c>
      <c r="V53" s="22"/>
      <c r="W53" s="27"/>
    </row>
    <row r="54" spans="1:23" ht="42" customHeight="1">
      <c r="A54" s="34" t="s">
        <v>108</v>
      </c>
      <c r="B54" s="35" t="s">
        <v>109</v>
      </c>
      <c r="C54" s="31">
        <v>0</v>
      </c>
      <c r="D54" s="31">
        <f>75.355351296/1000</f>
        <v>0.07535535129599999</v>
      </c>
      <c r="E54" s="31">
        <f t="shared" si="15"/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6">
        <v>0</v>
      </c>
      <c r="L54" s="31">
        <f t="shared" si="13"/>
        <v>0.07535535129599999</v>
      </c>
      <c r="M54" s="31">
        <v>0</v>
      </c>
      <c r="N54" s="31">
        <f t="shared" si="16"/>
        <v>0</v>
      </c>
      <c r="O54" s="26">
        <f t="shared" si="17"/>
        <v>0</v>
      </c>
      <c r="P54" s="26">
        <f t="shared" si="18"/>
        <v>0</v>
      </c>
      <c r="Q54" s="26">
        <f t="shared" si="19"/>
        <v>0</v>
      </c>
      <c r="R54" s="26">
        <f t="shared" si="20"/>
        <v>0.07535535129599999</v>
      </c>
      <c r="S54" s="31">
        <f t="shared" si="21"/>
        <v>-0.07535535129599999</v>
      </c>
      <c r="T54" s="37">
        <f t="shared" si="14"/>
        <v>-100</v>
      </c>
      <c r="U54" s="31">
        <f t="shared" si="22"/>
        <v>-0.07535535129599999</v>
      </c>
      <c r="V54" s="22"/>
      <c r="W54" s="27"/>
    </row>
    <row r="55" spans="1:23" ht="36.75" customHeight="1">
      <c r="A55" s="34" t="s">
        <v>110</v>
      </c>
      <c r="B55" s="35" t="s">
        <v>111</v>
      </c>
      <c r="C55" s="31">
        <v>0</v>
      </c>
      <c r="D55" s="31">
        <f>80.065060752/1000</f>
        <v>0.080065060752</v>
      </c>
      <c r="E55" s="31">
        <f t="shared" si="15"/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6">
        <v>0</v>
      </c>
      <c r="L55" s="31">
        <f t="shared" si="13"/>
        <v>0.080065060752</v>
      </c>
      <c r="M55" s="31">
        <v>0</v>
      </c>
      <c r="N55" s="31">
        <f t="shared" si="16"/>
        <v>0</v>
      </c>
      <c r="O55" s="26">
        <f t="shared" si="17"/>
        <v>0</v>
      </c>
      <c r="P55" s="26">
        <f t="shared" si="18"/>
        <v>0</v>
      </c>
      <c r="Q55" s="26">
        <f t="shared" si="19"/>
        <v>0</v>
      </c>
      <c r="R55" s="26">
        <f t="shared" si="20"/>
        <v>0.080065060752</v>
      </c>
      <c r="S55" s="31">
        <f t="shared" si="21"/>
        <v>-0.080065060752</v>
      </c>
      <c r="T55" s="37">
        <f t="shared" si="14"/>
        <v>-100</v>
      </c>
      <c r="U55" s="31">
        <f t="shared" si="22"/>
        <v>-0.080065060752</v>
      </c>
      <c r="V55" s="22"/>
      <c r="W55" s="27"/>
    </row>
    <row r="56" spans="1:23" ht="36" customHeight="1">
      <c r="A56" s="34" t="s">
        <v>112</v>
      </c>
      <c r="B56" s="35" t="s">
        <v>113</v>
      </c>
      <c r="C56" s="31">
        <v>0</v>
      </c>
      <c r="D56" s="31">
        <f>136.581574224/1000</f>
        <v>0.136581574224</v>
      </c>
      <c r="E56" s="31">
        <f t="shared" si="15"/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6">
        <v>0</v>
      </c>
      <c r="L56" s="31">
        <f t="shared" si="13"/>
        <v>0.136581574224</v>
      </c>
      <c r="M56" s="31">
        <v>0</v>
      </c>
      <c r="N56" s="31">
        <f t="shared" si="16"/>
        <v>0</v>
      </c>
      <c r="O56" s="26">
        <f t="shared" si="17"/>
        <v>0</v>
      </c>
      <c r="P56" s="26">
        <f t="shared" si="18"/>
        <v>0</v>
      </c>
      <c r="Q56" s="26">
        <f t="shared" si="19"/>
        <v>0</v>
      </c>
      <c r="R56" s="26">
        <f t="shared" si="20"/>
        <v>0.136581574224</v>
      </c>
      <c r="S56" s="31">
        <f t="shared" si="21"/>
        <v>-0.136581574224</v>
      </c>
      <c r="T56" s="37">
        <f t="shared" si="14"/>
        <v>-100</v>
      </c>
      <c r="U56" s="31">
        <f t="shared" si="22"/>
        <v>-0.136581574224</v>
      </c>
      <c r="V56" s="22"/>
      <c r="W56" s="27"/>
    </row>
    <row r="57" spans="1:23" ht="34.5" customHeight="1">
      <c r="A57" s="34" t="s">
        <v>114</v>
      </c>
      <c r="B57" s="35" t="s">
        <v>115</v>
      </c>
      <c r="C57" s="31">
        <v>0</v>
      </c>
      <c r="D57" s="31">
        <f>47.09709456/1000</f>
        <v>0.047097094560000004</v>
      </c>
      <c r="E57" s="31">
        <f t="shared" si="15"/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6">
        <v>0</v>
      </c>
      <c r="L57" s="31">
        <f t="shared" si="13"/>
        <v>0.047097094560000004</v>
      </c>
      <c r="M57" s="31">
        <v>0</v>
      </c>
      <c r="N57" s="31">
        <f t="shared" si="16"/>
        <v>0</v>
      </c>
      <c r="O57" s="26">
        <f t="shared" si="17"/>
        <v>0</v>
      </c>
      <c r="P57" s="26">
        <f t="shared" si="18"/>
        <v>0</v>
      </c>
      <c r="Q57" s="26">
        <f t="shared" si="19"/>
        <v>0</v>
      </c>
      <c r="R57" s="26">
        <f t="shared" si="20"/>
        <v>0.047097094560000004</v>
      </c>
      <c r="S57" s="31">
        <f t="shared" si="21"/>
        <v>-0.047097094560000004</v>
      </c>
      <c r="T57" s="37">
        <f t="shared" si="14"/>
        <v>-100</v>
      </c>
      <c r="U57" s="31">
        <f t="shared" si="22"/>
        <v>-0.047097094560000004</v>
      </c>
      <c r="V57" s="22"/>
      <c r="W57" s="27"/>
    </row>
    <row r="58" spans="1:23" ht="39.75" customHeight="1">
      <c r="A58" s="34" t="s">
        <v>116</v>
      </c>
      <c r="B58" s="35" t="s">
        <v>117</v>
      </c>
      <c r="C58" s="31">
        <v>0</v>
      </c>
      <c r="D58" s="31">
        <f>37.677675648/1000</f>
        <v>0.037677675647999995</v>
      </c>
      <c r="E58" s="31">
        <f t="shared" si="15"/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6">
        <v>0</v>
      </c>
      <c r="L58" s="31">
        <f t="shared" si="13"/>
        <v>0.037677675647999995</v>
      </c>
      <c r="M58" s="31">
        <v>0</v>
      </c>
      <c r="N58" s="31">
        <f t="shared" si="16"/>
        <v>0</v>
      </c>
      <c r="O58" s="26">
        <f t="shared" si="17"/>
        <v>0</v>
      </c>
      <c r="P58" s="26">
        <f t="shared" si="18"/>
        <v>0</v>
      </c>
      <c r="Q58" s="26">
        <f t="shared" si="19"/>
        <v>0</v>
      </c>
      <c r="R58" s="26">
        <f t="shared" si="20"/>
        <v>0.037677675647999995</v>
      </c>
      <c r="S58" s="31">
        <f t="shared" si="21"/>
        <v>-0.037677675647999995</v>
      </c>
      <c r="T58" s="37">
        <f t="shared" si="14"/>
        <v>-100</v>
      </c>
      <c r="U58" s="31">
        <f t="shared" si="22"/>
        <v>-0.037677675647999995</v>
      </c>
      <c r="V58" s="22"/>
      <c r="W58" s="27"/>
    </row>
    <row r="59" spans="1:23" ht="46.5" customHeight="1">
      <c r="A59" s="34" t="s">
        <v>118</v>
      </c>
      <c r="B59" s="35" t="s">
        <v>119</v>
      </c>
      <c r="C59" s="31">
        <v>0</v>
      </c>
      <c r="D59" s="31">
        <f>28.258256736/1000</f>
        <v>0.028258256736</v>
      </c>
      <c r="E59" s="31">
        <f t="shared" si="15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6">
        <v>0</v>
      </c>
      <c r="L59" s="31">
        <f t="shared" si="13"/>
        <v>0.028258256736</v>
      </c>
      <c r="M59" s="31">
        <v>0</v>
      </c>
      <c r="N59" s="31">
        <f t="shared" si="16"/>
        <v>0</v>
      </c>
      <c r="O59" s="26">
        <f t="shared" si="17"/>
        <v>0</v>
      </c>
      <c r="P59" s="26">
        <f t="shared" si="18"/>
        <v>0</v>
      </c>
      <c r="Q59" s="26">
        <f t="shared" si="19"/>
        <v>0</v>
      </c>
      <c r="R59" s="26">
        <f t="shared" si="20"/>
        <v>0.028258256736</v>
      </c>
      <c r="S59" s="31">
        <f t="shared" si="21"/>
        <v>-0.028258256736</v>
      </c>
      <c r="T59" s="37">
        <f t="shared" si="14"/>
        <v>-100</v>
      </c>
      <c r="U59" s="31">
        <f t="shared" si="22"/>
        <v>-0.028258256736</v>
      </c>
      <c r="V59" s="22"/>
      <c r="W59" s="27"/>
    </row>
    <row r="60" spans="1:23" ht="66" customHeight="1">
      <c r="A60" s="34" t="s">
        <v>120</v>
      </c>
      <c r="B60" s="35" t="s">
        <v>121</v>
      </c>
      <c r="C60" s="31">
        <v>0</v>
      </c>
      <c r="D60" s="31">
        <f>18.838837824/1000</f>
        <v>0.018838837823999997</v>
      </c>
      <c r="E60" s="31">
        <f t="shared" si="15"/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6">
        <v>0</v>
      </c>
      <c r="L60" s="31">
        <f t="shared" si="13"/>
        <v>0.018838837823999997</v>
      </c>
      <c r="M60" s="31">
        <v>0</v>
      </c>
      <c r="N60" s="31">
        <f t="shared" si="16"/>
        <v>0</v>
      </c>
      <c r="O60" s="26">
        <f t="shared" si="17"/>
        <v>0</v>
      </c>
      <c r="P60" s="26">
        <f t="shared" si="18"/>
        <v>0</v>
      </c>
      <c r="Q60" s="26">
        <f t="shared" si="19"/>
        <v>0</v>
      </c>
      <c r="R60" s="26">
        <f t="shared" si="20"/>
        <v>0.018838837823999997</v>
      </c>
      <c r="S60" s="31">
        <f t="shared" si="21"/>
        <v>-0.018838837823999997</v>
      </c>
      <c r="T60" s="37">
        <f t="shared" si="14"/>
        <v>-100</v>
      </c>
      <c r="U60" s="31">
        <f t="shared" si="22"/>
        <v>-0.018838837823999997</v>
      </c>
      <c r="V60" s="22"/>
      <c r="W60" s="27"/>
    </row>
    <row r="61" spans="1:23" ht="41.25" customHeight="1">
      <c r="A61" s="34" t="s">
        <v>122</v>
      </c>
      <c r="B61" s="35" t="s">
        <v>123</v>
      </c>
      <c r="C61" s="31">
        <v>0</v>
      </c>
      <c r="D61" s="31">
        <f>122.452445856/1000</f>
        <v>0.122452445856</v>
      </c>
      <c r="E61" s="31">
        <f t="shared" si="15"/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6">
        <v>0</v>
      </c>
      <c r="L61" s="31">
        <f t="shared" si="13"/>
        <v>0.122452445856</v>
      </c>
      <c r="M61" s="31">
        <v>0</v>
      </c>
      <c r="N61" s="31">
        <f t="shared" si="16"/>
        <v>0</v>
      </c>
      <c r="O61" s="26">
        <f t="shared" si="17"/>
        <v>0</v>
      </c>
      <c r="P61" s="26">
        <f t="shared" si="18"/>
        <v>0</v>
      </c>
      <c r="Q61" s="26">
        <f t="shared" si="19"/>
        <v>0</v>
      </c>
      <c r="R61" s="26">
        <f t="shared" si="20"/>
        <v>0.122452445856</v>
      </c>
      <c r="S61" s="31">
        <f t="shared" si="21"/>
        <v>-0.122452445856</v>
      </c>
      <c r="T61" s="37">
        <f t="shared" si="14"/>
        <v>-100</v>
      </c>
      <c r="U61" s="31">
        <f t="shared" si="22"/>
        <v>-0.122452445856</v>
      </c>
      <c r="V61" s="22"/>
      <c r="W61" s="27"/>
    </row>
    <row r="62" spans="1:23" ht="39.75" customHeight="1">
      <c r="A62" s="34" t="s">
        <v>124</v>
      </c>
      <c r="B62" s="35" t="s">
        <v>125</v>
      </c>
      <c r="C62" s="31">
        <v>0</v>
      </c>
      <c r="D62" s="31">
        <f>113.033026944/1000</f>
        <v>0.113033026944</v>
      </c>
      <c r="E62" s="31">
        <f t="shared" si="15"/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6">
        <v>0</v>
      </c>
      <c r="L62" s="31">
        <f t="shared" si="13"/>
        <v>0.113033026944</v>
      </c>
      <c r="M62" s="31">
        <v>0</v>
      </c>
      <c r="N62" s="31">
        <f t="shared" si="16"/>
        <v>0</v>
      </c>
      <c r="O62" s="26">
        <f t="shared" si="17"/>
        <v>0</v>
      </c>
      <c r="P62" s="26">
        <f t="shared" si="18"/>
        <v>0</v>
      </c>
      <c r="Q62" s="26">
        <f t="shared" si="19"/>
        <v>0</v>
      </c>
      <c r="R62" s="26">
        <f t="shared" si="20"/>
        <v>0.113033026944</v>
      </c>
      <c r="S62" s="31">
        <f t="shared" si="21"/>
        <v>-0.113033026944</v>
      </c>
      <c r="T62" s="37">
        <f t="shared" si="14"/>
        <v>-100</v>
      </c>
      <c r="U62" s="31">
        <f t="shared" si="22"/>
        <v>-0.113033026944</v>
      </c>
      <c r="V62" s="22"/>
      <c r="W62" s="27"/>
    </row>
    <row r="63" spans="1:23" ht="42" customHeight="1">
      <c r="A63" s="34" t="s">
        <v>126</v>
      </c>
      <c r="B63" s="35" t="s">
        <v>127</v>
      </c>
      <c r="C63" s="31">
        <v>0</v>
      </c>
      <c r="D63" s="31">
        <f>470.9709456/1000</f>
        <v>0.47097094559999997</v>
      </c>
      <c r="E63" s="31">
        <f t="shared" si="15"/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6">
        <v>0</v>
      </c>
      <c r="L63" s="31">
        <f t="shared" si="13"/>
        <v>0.47097094559999997</v>
      </c>
      <c r="M63" s="31">
        <v>0</v>
      </c>
      <c r="N63" s="31">
        <f t="shared" si="16"/>
        <v>0</v>
      </c>
      <c r="O63" s="26">
        <f t="shared" si="17"/>
        <v>0</v>
      </c>
      <c r="P63" s="26">
        <f t="shared" si="18"/>
        <v>0</v>
      </c>
      <c r="Q63" s="26">
        <f t="shared" si="19"/>
        <v>0</v>
      </c>
      <c r="R63" s="26">
        <f t="shared" si="20"/>
        <v>0.47097094559999997</v>
      </c>
      <c r="S63" s="31">
        <f t="shared" si="21"/>
        <v>-0.47097094559999997</v>
      </c>
      <c r="T63" s="37">
        <f t="shared" si="14"/>
        <v>-100</v>
      </c>
      <c r="U63" s="31">
        <f t="shared" si="22"/>
        <v>-0.47097094559999997</v>
      </c>
      <c r="V63" s="22"/>
      <c r="W63" s="27"/>
    </row>
    <row r="64" spans="1:23" ht="38.25" customHeight="1">
      <c r="A64" s="34" t="s">
        <v>128</v>
      </c>
      <c r="B64" s="35" t="s">
        <v>129</v>
      </c>
      <c r="C64" s="31">
        <v>0</v>
      </c>
      <c r="D64" s="31">
        <f>329.67966192/1000</f>
        <v>0.32967966192</v>
      </c>
      <c r="E64" s="31">
        <f t="shared" si="15"/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6">
        <v>0</v>
      </c>
      <c r="L64" s="31">
        <f t="shared" si="13"/>
        <v>0.32967966192</v>
      </c>
      <c r="M64" s="31">
        <v>0</v>
      </c>
      <c r="N64" s="31">
        <f t="shared" si="16"/>
        <v>0</v>
      </c>
      <c r="O64" s="26">
        <f t="shared" si="17"/>
        <v>0</v>
      </c>
      <c r="P64" s="26">
        <f t="shared" si="18"/>
        <v>0</v>
      </c>
      <c r="Q64" s="26">
        <f t="shared" si="19"/>
        <v>0</v>
      </c>
      <c r="R64" s="26">
        <f t="shared" si="20"/>
        <v>0.32967966192</v>
      </c>
      <c r="S64" s="31">
        <f t="shared" si="21"/>
        <v>-0.32967966192</v>
      </c>
      <c r="T64" s="37">
        <f t="shared" si="14"/>
        <v>-100</v>
      </c>
      <c r="U64" s="31">
        <f t="shared" si="22"/>
        <v>-0.32967966192</v>
      </c>
      <c r="V64" s="22"/>
      <c r="W64" s="27"/>
    </row>
    <row r="65" spans="1:23" ht="39.75" customHeight="1">
      <c r="A65" s="34" t="s">
        <v>130</v>
      </c>
      <c r="B65" s="35" t="s">
        <v>131</v>
      </c>
      <c r="C65" s="31">
        <v>0</v>
      </c>
      <c r="D65" s="31">
        <f>188.38837824/1000</f>
        <v>0.18838837824000002</v>
      </c>
      <c r="E65" s="31">
        <f t="shared" si="15"/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6">
        <v>0</v>
      </c>
      <c r="L65" s="31">
        <f t="shared" si="13"/>
        <v>0.18838837824000002</v>
      </c>
      <c r="M65" s="31">
        <v>0</v>
      </c>
      <c r="N65" s="31">
        <f t="shared" si="16"/>
        <v>0</v>
      </c>
      <c r="O65" s="26">
        <f t="shared" si="17"/>
        <v>0</v>
      </c>
      <c r="P65" s="26">
        <f t="shared" si="18"/>
        <v>0</v>
      </c>
      <c r="Q65" s="26">
        <f t="shared" si="19"/>
        <v>0</v>
      </c>
      <c r="R65" s="26">
        <f t="shared" si="20"/>
        <v>0.18838837824000002</v>
      </c>
      <c r="S65" s="31">
        <f t="shared" si="21"/>
        <v>-0.18838837824000002</v>
      </c>
      <c r="T65" s="37">
        <f t="shared" si="14"/>
        <v>-100</v>
      </c>
      <c r="U65" s="31">
        <f t="shared" si="22"/>
        <v>-0.18838837824000002</v>
      </c>
      <c r="V65" s="22"/>
      <c r="W65" s="27"/>
    </row>
    <row r="66" spans="1:23" ht="39.75" customHeight="1">
      <c r="A66" s="34" t="s">
        <v>132</v>
      </c>
      <c r="B66" s="35" t="s">
        <v>133</v>
      </c>
      <c r="C66" s="31">
        <v>0</v>
      </c>
      <c r="D66" s="31">
        <f>329.67966192/1000</f>
        <v>0.32967966192</v>
      </c>
      <c r="E66" s="31">
        <f t="shared" si="15"/>
        <v>0</v>
      </c>
      <c r="F66" s="31">
        <v>0</v>
      </c>
      <c r="G66" s="31">
        <v>0</v>
      </c>
      <c r="H66" s="31">
        <f aca="true" t="shared" si="23" ref="H66:H71">D66</f>
        <v>0.32967966192</v>
      </c>
      <c r="I66" s="31">
        <v>0</v>
      </c>
      <c r="J66" s="31">
        <v>0</v>
      </c>
      <c r="K66" s="36">
        <v>0</v>
      </c>
      <c r="L66" s="31">
        <v>0</v>
      </c>
      <c r="M66" s="31">
        <v>0</v>
      </c>
      <c r="N66" s="31">
        <f t="shared" si="16"/>
        <v>0</v>
      </c>
      <c r="O66" s="26">
        <f t="shared" si="17"/>
        <v>0</v>
      </c>
      <c r="P66" s="26">
        <f t="shared" si="18"/>
        <v>0</v>
      </c>
      <c r="Q66" s="26">
        <f t="shared" si="19"/>
        <v>0</v>
      </c>
      <c r="R66" s="26">
        <f t="shared" si="20"/>
        <v>0.32967966192</v>
      </c>
      <c r="S66" s="31">
        <f t="shared" si="21"/>
        <v>-0.32967966192</v>
      </c>
      <c r="T66" s="37">
        <f t="shared" si="14"/>
        <v>-100</v>
      </c>
      <c r="U66" s="31">
        <f t="shared" si="22"/>
        <v>-0.32967966192</v>
      </c>
      <c r="V66" s="22"/>
      <c r="W66" s="27"/>
    </row>
    <row r="67" spans="1:23" ht="39.75" customHeight="1">
      <c r="A67" s="34" t="s">
        <v>134</v>
      </c>
      <c r="B67" s="35" t="s">
        <v>135</v>
      </c>
      <c r="C67" s="31">
        <v>0</v>
      </c>
      <c r="D67" s="31">
        <f>244.904891712/1000</f>
        <v>0.244904891712</v>
      </c>
      <c r="E67" s="31">
        <f t="shared" si="15"/>
        <v>0</v>
      </c>
      <c r="F67" s="31">
        <v>0</v>
      </c>
      <c r="G67" s="31">
        <v>0</v>
      </c>
      <c r="H67" s="31">
        <f t="shared" si="23"/>
        <v>0.244904891712</v>
      </c>
      <c r="I67" s="31">
        <v>0</v>
      </c>
      <c r="J67" s="31">
        <v>0</v>
      </c>
      <c r="K67" s="36">
        <v>0</v>
      </c>
      <c r="L67" s="31">
        <v>0</v>
      </c>
      <c r="M67" s="31">
        <v>0</v>
      </c>
      <c r="N67" s="31">
        <f t="shared" si="16"/>
        <v>0</v>
      </c>
      <c r="O67" s="26">
        <f t="shared" si="17"/>
        <v>0</v>
      </c>
      <c r="P67" s="26">
        <f t="shared" si="18"/>
        <v>0</v>
      </c>
      <c r="Q67" s="26">
        <f t="shared" si="19"/>
        <v>0</v>
      </c>
      <c r="R67" s="26">
        <f t="shared" si="20"/>
        <v>0.244904891712</v>
      </c>
      <c r="S67" s="31">
        <f t="shared" si="21"/>
        <v>-0.244904891712</v>
      </c>
      <c r="T67" s="37">
        <f t="shared" si="14"/>
        <v>-100</v>
      </c>
      <c r="U67" s="31">
        <f t="shared" si="22"/>
        <v>-0.244904891712</v>
      </c>
      <c r="V67" s="22"/>
      <c r="W67" s="27"/>
    </row>
    <row r="68" spans="1:23" ht="39.75" customHeight="1">
      <c r="A68" s="34" t="s">
        <v>136</v>
      </c>
      <c r="B68" s="35" t="s">
        <v>137</v>
      </c>
      <c r="C68" s="31">
        <v>0</v>
      </c>
      <c r="D68" s="31">
        <f>376.77675648/1000</f>
        <v>0.37677675648000003</v>
      </c>
      <c r="E68" s="31">
        <f t="shared" si="15"/>
        <v>0</v>
      </c>
      <c r="F68" s="31">
        <v>0</v>
      </c>
      <c r="G68" s="31">
        <v>0</v>
      </c>
      <c r="H68" s="31">
        <f t="shared" si="23"/>
        <v>0.37677675648000003</v>
      </c>
      <c r="I68" s="31">
        <v>0</v>
      </c>
      <c r="J68" s="31">
        <v>0</v>
      </c>
      <c r="K68" s="36">
        <v>0</v>
      </c>
      <c r="L68" s="31">
        <v>0</v>
      </c>
      <c r="M68" s="31">
        <v>0</v>
      </c>
      <c r="N68" s="31">
        <f t="shared" si="16"/>
        <v>0</v>
      </c>
      <c r="O68" s="26">
        <f t="shared" si="17"/>
        <v>0</v>
      </c>
      <c r="P68" s="26">
        <f t="shared" si="18"/>
        <v>0</v>
      </c>
      <c r="Q68" s="26">
        <f t="shared" si="19"/>
        <v>0</v>
      </c>
      <c r="R68" s="26">
        <f t="shared" si="20"/>
        <v>0.37677675648000003</v>
      </c>
      <c r="S68" s="31">
        <f t="shared" si="21"/>
        <v>-0.37677675648000003</v>
      </c>
      <c r="T68" s="37">
        <f t="shared" si="14"/>
        <v>-100</v>
      </c>
      <c r="U68" s="31">
        <f t="shared" si="22"/>
        <v>-0.37677675648000003</v>
      </c>
      <c r="V68" s="22"/>
      <c r="W68" s="27"/>
    </row>
    <row r="69" spans="1:23" ht="39" customHeight="1">
      <c r="A69" s="34" t="s">
        <v>138</v>
      </c>
      <c r="B69" s="35" t="s">
        <v>139</v>
      </c>
      <c r="C69" s="31">
        <v>0</v>
      </c>
      <c r="D69" s="31">
        <f>216.646634976/1000</f>
        <v>0.216646634976</v>
      </c>
      <c r="E69" s="31">
        <f t="shared" si="15"/>
        <v>0</v>
      </c>
      <c r="F69" s="31">
        <v>0</v>
      </c>
      <c r="G69" s="31">
        <v>0</v>
      </c>
      <c r="H69" s="31">
        <f t="shared" si="23"/>
        <v>0.216646634976</v>
      </c>
      <c r="I69" s="31">
        <v>0</v>
      </c>
      <c r="J69" s="31">
        <v>0</v>
      </c>
      <c r="K69" s="36">
        <v>0</v>
      </c>
      <c r="L69" s="31">
        <v>0</v>
      </c>
      <c r="M69" s="31">
        <v>0</v>
      </c>
      <c r="N69" s="31">
        <f t="shared" si="16"/>
        <v>0</v>
      </c>
      <c r="O69" s="26">
        <f t="shared" si="17"/>
        <v>0</v>
      </c>
      <c r="P69" s="26">
        <f t="shared" si="18"/>
        <v>0</v>
      </c>
      <c r="Q69" s="26">
        <f t="shared" si="19"/>
        <v>0</v>
      </c>
      <c r="R69" s="26">
        <f t="shared" si="20"/>
        <v>0.216646634976</v>
      </c>
      <c r="S69" s="31">
        <f t="shared" si="21"/>
        <v>-0.216646634976</v>
      </c>
      <c r="T69" s="37">
        <f t="shared" si="14"/>
        <v>-100</v>
      </c>
      <c r="U69" s="31">
        <f t="shared" si="22"/>
        <v>-0.216646634976</v>
      </c>
      <c r="V69" s="22"/>
      <c r="W69" s="27"/>
    </row>
    <row r="70" spans="1:23" ht="42" customHeight="1">
      <c r="A70" s="34" t="s">
        <v>140</v>
      </c>
      <c r="B70" s="35" t="s">
        <v>141</v>
      </c>
      <c r="C70" s="31">
        <v>0</v>
      </c>
      <c r="D70" s="31">
        <f>254.324310624/1000</f>
        <v>0.254324310624</v>
      </c>
      <c r="E70" s="31">
        <f t="shared" si="15"/>
        <v>0</v>
      </c>
      <c r="F70" s="31">
        <v>0</v>
      </c>
      <c r="G70" s="31">
        <v>0</v>
      </c>
      <c r="H70" s="31">
        <f t="shared" si="23"/>
        <v>0.254324310624</v>
      </c>
      <c r="I70" s="31">
        <v>0</v>
      </c>
      <c r="J70" s="31">
        <v>0</v>
      </c>
      <c r="K70" s="36">
        <v>0</v>
      </c>
      <c r="L70" s="31">
        <v>0</v>
      </c>
      <c r="M70" s="31">
        <v>0</v>
      </c>
      <c r="N70" s="31">
        <f t="shared" si="16"/>
        <v>0</v>
      </c>
      <c r="O70" s="26">
        <f t="shared" si="17"/>
        <v>0</v>
      </c>
      <c r="P70" s="26">
        <f t="shared" si="18"/>
        <v>0</v>
      </c>
      <c r="Q70" s="26">
        <f t="shared" si="19"/>
        <v>0</v>
      </c>
      <c r="R70" s="26">
        <f t="shared" si="20"/>
        <v>0.254324310624</v>
      </c>
      <c r="S70" s="31">
        <f t="shared" si="21"/>
        <v>-0.254324310624</v>
      </c>
      <c r="T70" s="37">
        <f t="shared" si="14"/>
        <v>-100</v>
      </c>
      <c r="U70" s="31">
        <f t="shared" si="22"/>
        <v>-0.254324310624</v>
      </c>
      <c r="V70" s="22"/>
      <c r="W70" s="27"/>
    </row>
    <row r="71" spans="1:23" ht="40.5" customHeight="1">
      <c r="A71" s="34" t="s">
        <v>142</v>
      </c>
      <c r="B71" s="35" t="s">
        <v>143</v>
      </c>
      <c r="C71" s="31">
        <v>0</v>
      </c>
      <c r="D71" s="31">
        <f>178.968959328/1000</f>
        <v>0.178968959328</v>
      </c>
      <c r="E71" s="31">
        <f t="shared" si="15"/>
        <v>0</v>
      </c>
      <c r="F71" s="31">
        <v>0</v>
      </c>
      <c r="G71" s="31">
        <v>0</v>
      </c>
      <c r="H71" s="31">
        <f t="shared" si="23"/>
        <v>0.178968959328</v>
      </c>
      <c r="I71" s="31">
        <v>0</v>
      </c>
      <c r="J71" s="31">
        <v>0</v>
      </c>
      <c r="K71" s="36">
        <v>0</v>
      </c>
      <c r="L71" s="31">
        <v>0</v>
      </c>
      <c r="M71" s="31">
        <v>0</v>
      </c>
      <c r="N71" s="31">
        <f t="shared" si="16"/>
        <v>0</v>
      </c>
      <c r="O71" s="26">
        <f t="shared" si="17"/>
        <v>0</v>
      </c>
      <c r="P71" s="26">
        <f t="shared" si="18"/>
        <v>0</v>
      </c>
      <c r="Q71" s="26">
        <f t="shared" si="19"/>
        <v>0</v>
      </c>
      <c r="R71" s="26">
        <f t="shared" si="20"/>
        <v>0.178968959328</v>
      </c>
      <c r="S71" s="31">
        <f t="shared" si="21"/>
        <v>-0.178968959328</v>
      </c>
      <c r="T71" s="37">
        <f t="shared" si="14"/>
        <v>-100</v>
      </c>
      <c r="U71" s="31">
        <f t="shared" si="22"/>
        <v>-0.178968959328</v>
      </c>
      <c r="V71" s="22"/>
      <c r="W71" s="27"/>
    </row>
    <row r="72" spans="1:23" ht="35.25" customHeight="1">
      <c r="A72" s="34" t="s">
        <v>144</v>
      </c>
      <c r="B72" s="35" t="s">
        <v>145</v>
      </c>
      <c r="C72" s="31">
        <v>0</v>
      </c>
      <c r="D72" s="31">
        <f>6629.499/1000</f>
        <v>6.629499</v>
      </c>
      <c r="E72" s="31">
        <f t="shared" si="15"/>
        <v>1.69771084</v>
      </c>
      <c r="F72" s="31">
        <f>1438.738*1.18/1000</f>
        <v>1.69771084</v>
      </c>
      <c r="G72" s="31">
        <f>1438.738*1.18/1000</f>
        <v>1.69771084</v>
      </c>
      <c r="H72" s="31">
        <v>0</v>
      </c>
      <c r="I72" s="31">
        <v>0</v>
      </c>
      <c r="J72" s="31">
        <v>0</v>
      </c>
      <c r="K72" s="36">
        <v>0</v>
      </c>
      <c r="L72" s="31">
        <f>D72-F72</f>
        <v>4.93178816</v>
      </c>
      <c r="M72" s="31">
        <v>0</v>
      </c>
      <c r="N72" s="31">
        <f t="shared" si="16"/>
        <v>1.69771084</v>
      </c>
      <c r="O72" s="26">
        <f t="shared" si="17"/>
        <v>0</v>
      </c>
      <c r="P72" s="26">
        <f t="shared" si="18"/>
        <v>1.69771084</v>
      </c>
      <c r="Q72" s="26">
        <f t="shared" si="19"/>
        <v>0</v>
      </c>
      <c r="R72" s="26">
        <f t="shared" si="20"/>
        <v>4.93178816</v>
      </c>
      <c r="S72" s="31">
        <f t="shared" si="21"/>
        <v>-4.93178816</v>
      </c>
      <c r="T72" s="37">
        <f t="shared" si="14"/>
        <v>-74.39156654220778</v>
      </c>
      <c r="U72" s="31">
        <f t="shared" si="22"/>
        <v>-4.93178816</v>
      </c>
      <c r="V72" s="22"/>
      <c r="W72" s="27"/>
    </row>
    <row r="73" spans="1:23" ht="41.25" customHeight="1">
      <c r="A73" s="34" t="s">
        <v>146</v>
      </c>
      <c r="B73" s="35" t="s">
        <v>147</v>
      </c>
      <c r="C73" s="31">
        <v>0</v>
      </c>
      <c r="D73" s="31">
        <v>0</v>
      </c>
      <c r="E73" s="31">
        <f t="shared" si="15"/>
        <v>3.9025370049999997</v>
      </c>
      <c r="F73" s="31">
        <v>0</v>
      </c>
      <c r="G73" s="31">
        <v>0</v>
      </c>
      <c r="H73" s="31">
        <v>0</v>
      </c>
      <c r="I73" s="31">
        <f>3307.23475*1.18/1000</f>
        <v>3.9025370049999997</v>
      </c>
      <c r="J73" s="31">
        <v>0</v>
      </c>
      <c r="K73" s="31">
        <v>0</v>
      </c>
      <c r="L73" s="31">
        <v>0</v>
      </c>
      <c r="M73" s="31">
        <v>0</v>
      </c>
      <c r="N73" s="31">
        <f t="shared" si="16"/>
        <v>3.9025370049999997</v>
      </c>
      <c r="O73" s="26">
        <f t="shared" si="17"/>
        <v>0</v>
      </c>
      <c r="P73" s="26">
        <f t="shared" si="18"/>
        <v>3.9025370049999997</v>
      </c>
      <c r="Q73" s="26">
        <f t="shared" si="19"/>
        <v>0</v>
      </c>
      <c r="R73" s="26">
        <f t="shared" si="20"/>
        <v>-3.9025370049999997</v>
      </c>
      <c r="S73" s="31">
        <f t="shared" si="21"/>
        <v>3.9025370049999997</v>
      </c>
      <c r="T73" s="37"/>
      <c r="U73" s="31">
        <f t="shared" si="22"/>
        <v>3.9025370049999997</v>
      </c>
      <c r="V73" s="22"/>
      <c r="W73" s="27" t="s">
        <v>148</v>
      </c>
    </row>
    <row r="74" spans="1:23" ht="38.25">
      <c r="A74" s="34" t="s">
        <v>149</v>
      </c>
      <c r="B74" s="35" t="s">
        <v>150</v>
      </c>
      <c r="C74" s="31">
        <v>0</v>
      </c>
      <c r="D74" s="31">
        <f aca="true" t="shared" si="24" ref="D74:D86">F74+H74+J74+L74</f>
        <v>0</v>
      </c>
      <c r="E74" s="31">
        <f t="shared" si="15"/>
        <v>0.1582112258</v>
      </c>
      <c r="F74" s="31">
        <v>0</v>
      </c>
      <c r="G74" s="31">
        <v>0</v>
      </c>
      <c r="H74" s="31">
        <v>0</v>
      </c>
      <c r="I74" s="31">
        <f>134.07731*1.18/1000</f>
        <v>0.1582112258</v>
      </c>
      <c r="J74" s="31">
        <v>0</v>
      </c>
      <c r="K74" s="31">
        <v>0</v>
      </c>
      <c r="L74" s="31">
        <v>0</v>
      </c>
      <c r="M74" s="31">
        <v>0</v>
      </c>
      <c r="N74" s="31">
        <f t="shared" si="16"/>
        <v>0.1582112258</v>
      </c>
      <c r="O74" s="26">
        <f t="shared" si="17"/>
        <v>0</v>
      </c>
      <c r="P74" s="26">
        <f t="shared" si="18"/>
        <v>0.1582112258</v>
      </c>
      <c r="Q74" s="26">
        <f t="shared" si="19"/>
        <v>0</v>
      </c>
      <c r="R74" s="26">
        <f t="shared" si="20"/>
        <v>-0.1582112258</v>
      </c>
      <c r="S74" s="31">
        <f t="shared" si="21"/>
        <v>0.1582112258</v>
      </c>
      <c r="T74" s="37"/>
      <c r="U74" s="31">
        <f t="shared" si="22"/>
        <v>0.1582112258</v>
      </c>
      <c r="V74" s="22"/>
      <c r="W74" s="27" t="s">
        <v>148</v>
      </c>
    </row>
    <row r="75" spans="1:23" ht="38.25">
      <c r="A75" s="34" t="s">
        <v>151</v>
      </c>
      <c r="B75" s="35" t="s">
        <v>152</v>
      </c>
      <c r="C75" s="31">
        <v>0</v>
      </c>
      <c r="D75" s="31">
        <f t="shared" si="24"/>
        <v>0</v>
      </c>
      <c r="E75" s="31">
        <f t="shared" si="15"/>
        <v>0.21140412719999999</v>
      </c>
      <c r="F75" s="31">
        <v>0</v>
      </c>
      <c r="G75" s="31">
        <v>0</v>
      </c>
      <c r="H75" s="31">
        <v>0</v>
      </c>
      <c r="I75" s="31">
        <f>179.15604*1.18/1000</f>
        <v>0.21140412719999999</v>
      </c>
      <c r="J75" s="31">
        <v>0</v>
      </c>
      <c r="K75" s="31">
        <v>0</v>
      </c>
      <c r="L75" s="31">
        <v>0</v>
      </c>
      <c r="M75" s="31">
        <v>0</v>
      </c>
      <c r="N75" s="31">
        <f t="shared" si="16"/>
        <v>0.21140412719999999</v>
      </c>
      <c r="O75" s="26">
        <f t="shared" si="17"/>
        <v>0</v>
      </c>
      <c r="P75" s="26">
        <f t="shared" si="18"/>
        <v>0.21140412719999999</v>
      </c>
      <c r="Q75" s="26">
        <f t="shared" si="19"/>
        <v>0</v>
      </c>
      <c r="R75" s="26">
        <f t="shared" si="20"/>
        <v>-0.21140412719999999</v>
      </c>
      <c r="S75" s="31">
        <f t="shared" si="21"/>
        <v>0.21140412719999999</v>
      </c>
      <c r="T75" s="37"/>
      <c r="U75" s="31">
        <f t="shared" si="22"/>
        <v>0.21140412719999999</v>
      </c>
      <c r="V75" s="22"/>
      <c r="W75" s="27" t="s">
        <v>148</v>
      </c>
    </row>
    <row r="76" spans="1:23" ht="38.25">
      <c r="A76" s="34" t="s">
        <v>153</v>
      </c>
      <c r="B76" s="35" t="s">
        <v>154</v>
      </c>
      <c r="C76" s="31">
        <v>0</v>
      </c>
      <c r="D76" s="31">
        <f t="shared" si="24"/>
        <v>0</v>
      </c>
      <c r="E76" s="31">
        <f t="shared" si="15"/>
        <v>2.2483905967999998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f>12.52846*1.18/1000</f>
        <v>0.0147835828</v>
      </c>
      <c r="L76" s="31">
        <v>0</v>
      </c>
      <c r="M76" s="37">
        <f>(1892.8873+12.52846)*1.18/1000-K76</f>
        <v>2.233607014</v>
      </c>
      <c r="N76" s="31">
        <f t="shared" si="16"/>
        <v>2.2483905967999998</v>
      </c>
      <c r="O76" s="26">
        <f t="shared" si="17"/>
        <v>2.233607014</v>
      </c>
      <c r="P76" s="26">
        <f t="shared" si="18"/>
        <v>2.2483905967999998</v>
      </c>
      <c r="Q76" s="26">
        <f t="shared" si="19"/>
        <v>2.233607014</v>
      </c>
      <c r="R76" s="26">
        <f t="shared" si="20"/>
        <v>-2.2483905967999998</v>
      </c>
      <c r="S76" s="31">
        <f t="shared" si="21"/>
        <v>2.2483905967999998</v>
      </c>
      <c r="T76" s="37"/>
      <c r="U76" s="31">
        <f t="shared" si="22"/>
        <v>2.2483905967999998</v>
      </c>
      <c r="V76" s="38"/>
      <c r="W76" s="27" t="s">
        <v>148</v>
      </c>
    </row>
    <row r="77" spans="1:23" ht="38.25">
      <c r="A77" s="34" t="s">
        <v>155</v>
      </c>
      <c r="B77" s="35" t="s">
        <v>156</v>
      </c>
      <c r="C77" s="31">
        <v>0</v>
      </c>
      <c r="D77" s="31">
        <f t="shared" si="24"/>
        <v>0</v>
      </c>
      <c r="E77" s="31">
        <f t="shared" si="15"/>
        <v>0.028666448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f>24.2936*1.18/1000</f>
        <v>0.028666448</v>
      </c>
      <c r="L77" s="31">
        <v>0</v>
      </c>
      <c r="M77" s="31">
        <v>0</v>
      </c>
      <c r="N77" s="31">
        <f t="shared" si="16"/>
        <v>0.028666448</v>
      </c>
      <c r="O77" s="26">
        <f t="shared" si="17"/>
        <v>0</v>
      </c>
      <c r="P77" s="26">
        <f t="shared" si="18"/>
        <v>0.028666448</v>
      </c>
      <c r="Q77" s="26">
        <f t="shared" si="19"/>
        <v>0</v>
      </c>
      <c r="R77" s="26">
        <f t="shared" si="20"/>
        <v>-0.028666448</v>
      </c>
      <c r="S77" s="31">
        <f t="shared" si="21"/>
        <v>0.028666448</v>
      </c>
      <c r="T77" s="37"/>
      <c r="U77" s="31">
        <f t="shared" si="22"/>
        <v>0.028666448</v>
      </c>
      <c r="V77" s="22"/>
      <c r="W77" s="27" t="s">
        <v>148</v>
      </c>
    </row>
    <row r="78" spans="1:23" ht="38.25">
      <c r="A78" s="34" t="s">
        <v>157</v>
      </c>
      <c r="B78" s="35" t="s">
        <v>158</v>
      </c>
      <c r="C78" s="31">
        <v>0</v>
      </c>
      <c r="D78" s="31">
        <f t="shared" si="24"/>
        <v>0</v>
      </c>
      <c r="E78" s="31">
        <f t="shared" si="15"/>
        <v>0.043161107799999994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f>36.57721*1.18/1000</f>
        <v>0.043161107799999994</v>
      </c>
      <c r="L78" s="31">
        <v>0</v>
      </c>
      <c r="M78" s="31">
        <v>0</v>
      </c>
      <c r="N78" s="31">
        <f t="shared" si="16"/>
        <v>0.043161107799999994</v>
      </c>
      <c r="O78" s="26">
        <f t="shared" si="17"/>
        <v>0</v>
      </c>
      <c r="P78" s="26">
        <f t="shared" si="18"/>
        <v>0.043161107799999994</v>
      </c>
      <c r="Q78" s="26">
        <f t="shared" si="19"/>
        <v>0</v>
      </c>
      <c r="R78" s="26">
        <f t="shared" si="20"/>
        <v>-0.043161107799999994</v>
      </c>
      <c r="S78" s="31">
        <f t="shared" si="21"/>
        <v>0.043161107799999994</v>
      </c>
      <c r="T78" s="37"/>
      <c r="U78" s="31">
        <f t="shared" si="22"/>
        <v>0.043161107799999994</v>
      </c>
      <c r="V78" s="22"/>
      <c r="W78" s="27" t="s">
        <v>148</v>
      </c>
    </row>
    <row r="79" spans="1:23" ht="38.25">
      <c r="A79" s="34" t="s">
        <v>159</v>
      </c>
      <c r="B79" s="35" t="s">
        <v>160</v>
      </c>
      <c r="C79" s="31">
        <v>0</v>
      </c>
      <c r="D79" s="31">
        <f t="shared" si="24"/>
        <v>0</v>
      </c>
      <c r="E79" s="31">
        <f t="shared" si="15"/>
        <v>0.04316111959999999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f>36.57722*1.18/1000</f>
        <v>0.04316111959999999</v>
      </c>
      <c r="L79" s="31">
        <v>0</v>
      </c>
      <c r="M79" s="31">
        <v>0</v>
      </c>
      <c r="N79" s="31">
        <f t="shared" si="16"/>
        <v>0.04316111959999999</v>
      </c>
      <c r="O79" s="26">
        <f t="shared" si="17"/>
        <v>0</v>
      </c>
      <c r="P79" s="26">
        <f t="shared" si="18"/>
        <v>0.04316111959999999</v>
      </c>
      <c r="Q79" s="26">
        <f t="shared" si="19"/>
        <v>0</v>
      </c>
      <c r="R79" s="26">
        <f t="shared" si="20"/>
        <v>-0.04316111959999999</v>
      </c>
      <c r="S79" s="31">
        <f t="shared" si="21"/>
        <v>0.04316111959999999</v>
      </c>
      <c r="T79" s="37"/>
      <c r="U79" s="31">
        <f t="shared" si="22"/>
        <v>0.04316111959999999</v>
      </c>
      <c r="V79" s="22"/>
      <c r="W79" s="27" t="s">
        <v>148</v>
      </c>
    </row>
    <row r="80" spans="1:23" ht="38.25">
      <c r="A80" s="34" t="s">
        <v>161</v>
      </c>
      <c r="B80" s="35" t="s">
        <v>162</v>
      </c>
      <c r="C80" s="31">
        <v>0</v>
      </c>
      <c r="D80" s="31">
        <f t="shared" si="24"/>
        <v>0</v>
      </c>
      <c r="E80" s="31">
        <f t="shared" si="15"/>
        <v>0.043195847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f>36.60665*1.18/1000</f>
        <v>0.043195847</v>
      </c>
      <c r="L80" s="31">
        <v>0</v>
      </c>
      <c r="M80" s="31">
        <v>0</v>
      </c>
      <c r="N80" s="31">
        <f t="shared" si="16"/>
        <v>0.043195847</v>
      </c>
      <c r="O80" s="26">
        <f t="shared" si="17"/>
        <v>0</v>
      </c>
      <c r="P80" s="26">
        <f t="shared" si="18"/>
        <v>0.043195847</v>
      </c>
      <c r="Q80" s="26">
        <f t="shared" si="19"/>
        <v>0</v>
      </c>
      <c r="R80" s="26">
        <f t="shared" si="20"/>
        <v>-0.043195847</v>
      </c>
      <c r="S80" s="31">
        <f t="shared" si="21"/>
        <v>0.043195847</v>
      </c>
      <c r="T80" s="37"/>
      <c r="U80" s="31">
        <f t="shared" si="22"/>
        <v>0.043195847</v>
      </c>
      <c r="V80" s="22"/>
      <c r="W80" s="27" t="s">
        <v>148</v>
      </c>
    </row>
    <row r="81" spans="1:23" ht="38.25">
      <c r="A81" s="34" t="s">
        <v>163</v>
      </c>
      <c r="B81" s="35" t="s">
        <v>164</v>
      </c>
      <c r="C81" s="31">
        <v>0</v>
      </c>
      <c r="D81" s="31">
        <f t="shared" si="24"/>
        <v>0</v>
      </c>
      <c r="E81" s="31">
        <f t="shared" si="15"/>
        <v>0.0435714174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f>36.92493*1.18/1000</f>
        <v>0.0435714174</v>
      </c>
      <c r="L81" s="31">
        <v>0</v>
      </c>
      <c r="M81" s="31">
        <v>0</v>
      </c>
      <c r="N81" s="31">
        <f t="shared" si="16"/>
        <v>0.0435714174</v>
      </c>
      <c r="O81" s="26">
        <f t="shared" si="17"/>
        <v>0</v>
      </c>
      <c r="P81" s="26">
        <f t="shared" si="18"/>
        <v>0.0435714174</v>
      </c>
      <c r="Q81" s="26">
        <f t="shared" si="19"/>
        <v>0</v>
      </c>
      <c r="R81" s="26">
        <f t="shared" si="20"/>
        <v>-0.0435714174</v>
      </c>
      <c r="S81" s="31">
        <f t="shared" si="21"/>
        <v>0.0435714174</v>
      </c>
      <c r="T81" s="37"/>
      <c r="U81" s="31">
        <f t="shared" si="22"/>
        <v>0.0435714174</v>
      </c>
      <c r="V81" s="22"/>
      <c r="W81" s="27" t="s">
        <v>148</v>
      </c>
    </row>
    <row r="82" spans="1:23" ht="38.25">
      <c r="A82" s="34" t="s">
        <v>165</v>
      </c>
      <c r="B82" s="35" t="s">
        <v>166</v>
      </c>
      <c r="C82" s="31">
        <v>0</v>
      </c>
      <c r="D82" s="31">
        <f t="shared" si="24"/>
        <v>0</v>
      </c>
      <c r="E82" s="31">
        <f t="shared" si="15"/>
        <v>0.90291948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f>22*1.18/1000</f>
        <v>0.025959999999999997</v>
      </c>
      <c r="L82" s="31">
        <v>0</v>
      </c>
      <c r="M82" s="31">
        <f>765.186*1.18/1000-K82</f>
        <v>0.87695948</v>
      </c>
      <c r="N82" s="31">
        <f t="shared" si="16"/>
        <v>0.90291948</v>
      </c>
      <c r="O82" s="26">
        <f t="shared" si="17"/>
        <v>0.87695948</v>
      </c>
      <c r="P82" s="26">
        <f t="shared" si="18"/>
        <v>0.90291948</v>
      </c>
      <c r="Q82" s="26">
        <f t="shared" si="19"/>
        <v>0.87695948</v>
      </c>
      <c r="R82" s="26">
        <f t="shared" si="20"/>
        <v>-0.90291948</v>
      </c>
      <c r="S82" s="31">
        <f t="shared" si="21"/>
        <v>0.90291948</v>
      </c>
      <c r="T82" s="37"/>
      <c r="U82" s="31">
        <f t="shared" si="22"/>
        <v>0.90291948</v>
      </c>
      <c r="V82" s="38"/>
      <c r="W82" s="27" t="s">
        <v>148</v>
      </c>
    </row>
    <row r="83" spans="1:23" ht="38.25">
      <c r="A83" s="34" t="s">
        <v>167</v>
      </c>
      <c r="B83" s="35" t="s">
        <v>168</v>
      </c>
      <c r="C83" s="31">
        <v>0</v>
      </c>
      <c r="D83" s="31">
        <f t="shared" si="24"/>
        <v>0</v>
      </c>
      <c r="E83" s="31">
        <f aca="true" t="shared" si="25" ref="E83:E93">G83+I83+K83+M83</f>
        <v>0.053099999999999994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f>(22.7+22.3)*1.18/1000</f>
        <v>0.053099999999999994</v>
      </c>
      <c r="L83" s="31">
        <v>0</v>
      </c>
      <c r="M83" s="31">
        <v>0</v>
      </c>
      <c r="N83" s="31">
        <f aca="true" t="shared" si="26" ref="N83:N93">E83</f>
        <v>0.053099999999999994</v>
      </c>
      <c r="O83" s="26">
        <f aca="true" t="shared" si="27" ref="O83:O93">M83</f>
        <v>0</v>
      </c>
      <c r="P83" s="26">
        <f aca="true" t="shared" si="28" ref="P83:P93">N83</f>
        <v>0.053099999999999994</v>
      </c>
      <c r="Q83" s="26">
        <f aca="true" t="shared" si="29" ref="Q83:Q93">O83</f>
        <v>0</v>
      </c>
      <c r="R83" s="26">
        <f aca="true" t="shared" si="30" ref="R83:R93">D83-E83</f>
        <v>-0.053099999999999994</v>
      </c>
      <c r="S83" s="31">
        <f aca="true" t="shared" si="31" ref="S83:S93">E83-D83</f>
        <v>0.053099999999999994</v>
      </c>
      <c r="T83" s="37"/>
      <c r="U83" s="31">
        <f aca="true" t="shared" si="32" ref="U83:U93">S83</f>
        <v>0.053099999999999994</v>
      </c>
      <c r="V83" s="22"/>
      <c r="W83" s="27" t="s">
        <v>148</v>
      </c>
    </row>
    <row r="84" spans="1:23" ht="38.25">
      <c r="A84" s="34" t="s">
        <v>169</v>
      </c>
      <c r="B84" s="35" t="s">
        <v>170</v>
      </c>
      <c r="C84" s="31">
        <v>0</v>
      </c>
      <c r="D84" s="31">
        <f t="shared" si="24"/>
        <v>0</v>
      </c>
      <c r="E84" s="31">
        <f t="shared" si="25"/>
        <v>0.07924202679999998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f>13*1.18/1000</f>
        <v>0.01534</v>
      </c>
      <c r="L84" s="31">
        <v>0</v>
      </c>
      <c r="M84" s="31">
        <f>67.15426*1.18/1000-K84</f>
        <v>0.06390202679999998</v>
      </c>
      <c r="N84" s="31">
        <f t="shared" si="26"/>
        <v>0.07924202679999998</v>
      </c>
      <c r="O84" s="26">
        <f t="shared" si="27"/>
        <v>0.06390202679999998</v>
      </c>
      <c r="P84" s="26">
        <f t="shared" si="28"/>
        <v>0.07924202679999998</v>
      </c>
      <c r="Q84" s="26">
        <f t="shared" si="29"/>
        <v>0.06390202679999998</v>
      </c>
      <c r="R84" s="26">
        <f t="shared" si="30"/>
        <v>-0.07924202679999998</v>
      </c>
      <c r="S84" s="31">
        <f t="shared" si="31"/>
        <v>0.07924202679999998</v>
      </c>
      <c r="T84" s="37"/>
      <c r="U84" s="31">
        <f t="shared" si="32"/>
        <v>0.07924202679999998</v>
      </c>
      <c r="V84" s="38"/>
      <c r="W84" s="27" t="s">
        <v>148</v>
      </c>
    </row>
    <row r="85" spans="1:23" ht="38.25">
      <c r="A85" s="34" t="s">
        <v>171</v>
      </c>
      <c r="B85" s="35" t="s">
        <v>172</v>
      </c>
      <c r="C85" s="31">
        <v>0</v>
      </c>
      <c r="D85" s="31">
        <f t="shared" si="24"/>
        <v>0</v>
      </c>
      <c r="E85" s="31">
        <f t="shared" si="25"/>
        <v>0.10978460400000001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f>13*1.18/1000</f>
        <v>0.01534</v>
      </c>
      <c r="L85" s="31">
        <v>0</v>
      </c>
      <c r="M85" s="31">
        <f>93.0378*1.18/1000-K85</f>
        <v>0.09444460400000002</v>
      </c>
      <c r="N85" s="31">
        <f t="shared" si="26"/>
        <v>0.10978460400000001</v>
      </c>
      <c r="O85" s="26">
        <f t="shared" si="27"/>
        <v>0.09444460400000002</v>
      </c>
      <c r="P85" s="26">
        <f t="shared" si="28"/>
        <v>0.10978460400000001</v>
      </c>
      <c r="Q85" s="26">
        <f t="shared" si="29"/>
        <v>0.09444460400000002</v>
      </c>
      <c r="R85" s="26">
        <f t="shared" si="30"/>
        <v>-0.10978460400000001</v>
      </c>
      <c r="S85" s="31">
        <f t="shared" si="31"/>
        <v>0.10978460400000001</v>
      </c>
      <c r="T85" s="37"/>
      <c r="U85" s="31">
        <f t="shared" si="32"/>
        <v>0.10978460400000001</v>
      </c>
      <c r="V85" s="38"/>
      <c r="W85" s="27" t="s">
        <v>148</v>
      </c>
    </row>
    <row r="86" spans="1:23" ht="38.25">
      <c r="A86" s="34" t="s">
        <v>173</v>
      </c>
      <c r="B86" s="35" t="s">
        <v>174</v>
      </c>
      <c r="C86" s="31">
        <v>0</v>
      </c>
      <c r="D86" s="31">
        <f t="shared" si="24"/>
        <v>0</v>
      </c>
      <c r="E86" s="31">
        <f t="shared" si="25"/>
        <v>0.077517504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f>13*1.18/1000</f>
        <v>0.01534</v>
      </c>
      <c r="L86" s="31">
        <v>0</v>
      </c>
      <c r="M86" s="31">
        <f>65.6928*1.18/1000-K86</f>
        <v>0.062177504</v>
      </c>
      <c r="N86" s="31">
        <f t="shared" si="26"/>
        <v>0.077517504</v>
      </c>
      <c r="O86" s="26">
        <f t="shared" si="27"/>
        <v>0.062177504</v>
      </c>
      <c r="P86" s="26">
        <f t="shared" si="28"/>
        <v>0.077517504</v>
      </c>
      <c r="Q86" s="26">
        <f t="shared" si="29"/>
        <v>0.062177504</v>
      </c>
      <c r="R86" s="26">
        <f t="shared" si="30"/>
        <v>-0.077517504</v>
      </c>
      <c r="S86" s="31">
        <f t="shared" si="31"/>
        <v>0.077517504</v>
      </c>
      <c r="T86" s="37"/>
      <c r="U86" s="31">
        <f t="shared" si="32"/>
        <v>0.077517504</v>
      </c>
      <c r="V86" s="38"/>
      <c r="W86" s="27" t="s">
        <v>148</v>
      </c>
    </row>
    <row r="87" spans="1:23" ht="38.25">
      <c r="A87" s="34" t="s">
        <v>175</v>
      </c>
      <c r="B87" s="35" t="s">
        <v>176</v>
      </c>
      <c r="C87" s="31">
        <v>0</v>
      </c>
      <c r="D87" s="31">
        <v>0</v>
      </c>
      <c r="E87" s="31">
        <f t="shared" si="25"/>
        <v>0.3417202474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f>289.59343*1.18/1000</f>
        <v>0.3417202474</v>
      </c>
      <c r="N87" s="31">
        <f t="shared" si="26"/>
        <v>0.3417202474</v>
      </c>
      <c r="O87" s="26">
        <f t="shared" si="27"/>
        <v>0.3417202474</v>
      </c>
      <c r="P87" s="26">
        <f t="shared" si="28"/>
        <v>0.3417202474</v>
      </c>
      <c r="Q87" s="26">
        <f t="shared" si="29"/>
        <v>0.3417202474</v>
      </c>
      <c r="R87" s="26">
        <f t="shared" si="30"/>
        <v>-0.3417202474</v>
      </c>
      <c r="S87" s="31">
        <f t="shared" si="31"/>
        <v>0.3417202474</v>
      </c>
      <c r="T87" s="37"/>
      <c r="U87" s="31">
        <f t="shared" si="32"/>
        <v>0.3417202474</v>
      </c>
      <c r="V87" s="38"/>
      <c r="W87" s="27" t="s">
        <v>148</v>
      </c>
    </row>
    <row r="88" spans="1:23" ht="38.25">
      <c r="A88" s="34" t="s">
        <v>177</v>
      </c>
      <c r="B88" s="35" t="s">
        <v>178</v>
      </c>
      <c r="C88" s="31">
        <v>0</v>
      </c>
      <c r="D88" s="31">
        <v>0</v>
      </c>
      <c r="E88" s="31">
        <f t="shared" si="25"/>
        <v>0.066781982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f>56.5949*1.18/1000</f>
        <v>0.066781982</v>
      </c>
      <c r="N88" s="31">
        <f t="shared" si="26"/>
        <v>0.066781982</v>
      </c>
      <c r="O88" s="26">
        <f t="shared" si="27"/>
        <v>0.066781982</v>
      </c>
      <c r="P88" s="26">
        <f t="shared" si="28"/>
        <v>0.066781982</v>
      </c>
      <c r="Q88" s="26">
        <f t="shared" si="29"/>
        <v>0.066781982</v>
      </c>
      <c r="R88" s="26">
        <f t="shared" si="30"/>
        <v>-0.066781982</v>
      </c>
      <c r="S88" s="31">
        <f t="shared" si="31"/>
        <v>0.066781982</v>
      </c>
      <c r="T88" s="37"/>
      <c r="U88" s="31">
        <f t="shared" si="32"/>
        <v>0.066781982</v>
      </c>
      <c r="V88" s="38"/>
      <c r="W88" s="27" t="s">
        <v>148</v>
      </c>
    </row>
    <row r="89" spans="1:23" ht="45">
      <c r="A89" s="34" t="s">
        <v>179</v>
      </c>
      <c r="B89" s="35" t="s">
        <v>180</v>
      </c>
      <c r="C89" s="31">
        <v>0</v>
      </c>
      <c r="D89" s="31">
        <v>0</v>
      </c>
      <c r="E89" s="31">
        <f t="shared" si="25"/>
        <v>0.0265664728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f>22.51396*1.18/1000</f>
        <v>0.0265664728</v>
      </c>
      <c r="N89" s="31">
        <f t="shared" si="26"/>
        <v>0.0265664728</v>
      </c>
      <c r="O89" s="26">
        <f t="shared" si="27"/>
        <v>0.0265664728</v>
      </c>
      <c r="P89" s="26">
        <f t="shared" si="28"/>
        <v>0.0265664728</v>
      </c>
      <c r="Q89" s="26">
        <f t="shared" si="29"/>
        <v>0.0265664728</v>
      </c>
      <c r="R89" s="26">
        <f t="shared" si="30"/>
        <v>-0.0265664728</v>
      </c>
      <c r="S89" s="31">
        <f t="shared" si="31"/>
        <v>0.0265664728</v>
      </c>
      <c r="T89" s="37"/>
      <c r="U89" s="31">
        <f t="shared" si="32"/>
        <v>0.0265664728</v>
      </c>
      <c r="V89" s="38"/>
      <c r="W89" s="27" t="s">
        <v>148</v>
      </c>
    </row>
    <row r="90" spans="1:23" ht="38.25">
      <c r="A90" s="34" t="s">
        <v>181</v>
      </c>
      <c r="B90" s="35" t="s">
        <v>182</v>
      </c>
      <c r="C90" s="31">
        <v>0</v>
      </c>
      <c r="D90" s="31">
        <v>0</v>
      </c>
      <c r="E90" s="31">
        <f t="shared" si="25"/>
        <v>0.029110481999999997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f>24.6699*1.18/1000</f>
        <v>0.029110481999999997</v>
      </c>
      <c r="N90" s="31">
        <f t="shared" si="26"/>
        <v>0.029110481999999997</v>
      </c>
      <c r="O90" s="26">
        <f t="shared" si="27"/>
        <v>0.029110481999999997</v>
      </c>
      <c r="P90" s="26">
        <f t="shared" si="28"/>
        <v>0.029110481999999997</v>
      </c>
      <c r="Q90" s="26">
        <f t="shared" si="29"/>
        <v>0.029110481999999997</v>
      </c>
      <c r="R90" s="26">
        <f t="shared" si="30"/>
        <v>-0.029110481999999997</v>
      </c>
      <c r="S90" s="31">
        <f t="shared" si="31"/>
        <v>0.029110481999999997</v>
      </c>
      <c r="T90" s="25"/>
      <c r="U90" s="31">
        <f t="shared" si="32"/>
        <v>0.029110481999999997</v>
      </c>
      <c r="V90" s="38"/>
      <c r="W90" s="27" t="s">
        <v>148</v>
      </c>
    </row>
    <row r="91" spans="1:23" ht="38.25">
      <c r="A91" s="34" t="s">
        <v>183</v>
      </c>
      <c r="B91" s="35" t="s">
        <v>184</v>
      </c>
      <c r="C91" s="31">
        <v>0</v>
      </c>
      <c r="D91" s="31">
        <v>0</v>
      </c>
      <c r="E91" s="31">
        <f t="shared" si="25"/>
        <v>0.007725224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f>6.5468*1.18/1000</f>
        <v>0.007725224</v>
      </c>
      <c r="N91" s="31">
        <f t="shared" si="26"/>
        <v>0.007725224</v>
      </c>
      <c r="O91" s="26">
        <f t="shared" si="27"/>
        <v>0.007725224</v>
      </c>
      <c r="P91" s="26">
        <f t="shared" si="28"/>
        <v>0.007725224</v>
      </c>
      <c r="Q91" s="26">
        <f t="shared" si="29"/>
        <v>0.007725224</v>
      </c>
      <c r="R91" s="26">
        <f t="shared" si="30"/>
        <v>-0.007725224</v>
      </c>
      <c r="S91" s="31">
        <f t="shared" si="31"/>
        <v>0.007725224</v>
      </c>
      <c r="T91" s="25"/>
      <c r="U91" s="31">
        <f t="shared" si="32"/>
        <v>0.007725224</v>
      </c>
      <c r="V91" s="38"/>
      <c r="W91" s="27" t="s">
        <v>148</v>
      </c>
    </row>
    <row r="92" spans="1:23" ht="38.25">
      <c r="A92" s="34" t="s">
        <v>185</v>
      </c>
      <c r="B92" s="35" t="s">
        <v>186</v>
      </c>
      <c r="C92" s="31">
        <v>0</v>
      </c>
      <c r="D92" s="31">
        <v>0</v>
      </c>
      <c r="E92" s="31">
        <f t="shared" si="25"/>
        <v>0.449999962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f>381.3559*1.18/1000</f>
        <v>0.449999962</v>
      </c>
      <c r="N92" s="31">
        <f t="shared" si="26"/>
        <v>0.449999962</v>
      </c>
      <c r="O92" s="26">
        <f t="shared" si="27"/>
        <v>0.449999962</v>
      </c>
      <c r="P92" s="26">
        <f t="shared" si="28"/>
        <v>0.449999962</v>
      </c>
      <c r="Q92" s="26">
        <f t="shared" si="29"/>
        <v>0.449999962</v>
      </c>
      <c r="R92" s="26">
        <f t="shared" si="30"/>
        <v>-0.449999962</v>
      </c>
      <c r="S92" s="31">
        <f t="shared" si="31"/>
        <v>0.449999962</v>
      </c>
      <c r="T92" s="25"/>
      <c r="U92" s="31">
        <f t="shared" si="32"/>
        <v>0.449999962</v>
      </c>
      <c r="V92" s="38"/>
      <c r="W92" s="27" t="s">
        <v>148</v>
      </c>
    </row>
    <row r="93" spans="1:23" ht="38.25">
      <c r="A93" s="34" t="s">
        <v>187</v>
      </c>
      <c r="B93" s="35" t="s">
        <v>188</v>
      </c>
      <c r="C93" s="31">
        <v>0</v>
      </c>
      <c r="D93" s="31">
        <v>0</v>
      </c>
      <c r="E93" s="31">
        <f t="shared" si="25"/>
        <v>3.54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f>3000*1.18/1000</f>
        <v>3.54</v>
      </c>
      <c r="N93" s="31">
        <f t="shared" si="26"/>
        <v>3.54</v>
      </c>
      <c r="O93" s="26">
        <f t="shared" si="27"/>
        <v>3.54</v>
      </c>
      <c r="P93" s="26">
        <f t="shared" si="28"/>
        <v>3.54</v>
      </c>
      <c r="Q93" s="26">
        <f t="shared" si="29"/>
        <v>3.54</v>
      </c>
      <c r="R93" s="26">
        <f t="shared" si="30"/>
        <v>-3.54</v>
      </c>
      <c r="S93" s="31">
        <f t="shared" si="31"/>
        <v>3.54</v>
      </c>
      <c r="T93" s="25"/>
      <c r="U93" s="31">
        <f t="shared" si="32"/>
        <v>3.54</v>
      </c>
      <c r="V93" s="38"/>
      <c r="W93" s="27" t="s">
        <v>148</v>
      </c>
    </row>
    <row r="94" spans="1:23" s="40" customFormat="1" ht="14.25">
      <c r="A94" s="33" t="s">
        <v>189</v>
      </c>
      <c r="B94" s="18" t="s">
        <v>190</v>
      </c>
      <c r="C94" s="24">
        <v>0</v>
      </c>
      <c r="D94" s="24">
        <f>SUM(D95:D97)</f>
        <v>2.97745624</v>
      </c>
      <c r="E94" s="24">
        <f>SUM(E95:E102)</f>
        <v>2.5610685662</v>
      </c>
      <c r="F94" s="24">
        <f aca="true" t="shared" si="33" ref="F94:L94">SUM(F95:F100)</f>
        <v>0</v>
      </c>
      <c r="G94" s="24">
        <f t="shared" si="33"/>
        <v>0</v>
      </c>
      <c r="H94" s="24">
        <f t="shared" si="33"/>
        <v>0</v>
      </c>
      <c r="I94" s="24">
        <f t="shared" si="33"/>
        <v>0.3135100228</v>
      </c>
      <c r="J94" s="24">
        <f t="shared" si="33"/>
        <v>0</v>
      </c>
      <c r="K94" s="24">
        <f t="shared" si="33"/>
        <v>0.9036954834</v>
      </c>
      <c r="L94" s="24">
        <f t="shared" si="33"/>
        <v>2.97745624</v>
      </c>
      <c r="M94" s="39">
        <f aca="true" t="shared" si="34" ref="M94:S94">SUM(M95:M102)</f>
        <v>1.3438630599999997</v>
      </c>
      <c r="N94" s="24">
        <f t="shared" si="34"/>
        <v>2.5610685662</v>
      </c>
      <c r="O94" s="24">
        <f t="shared" si="34"/>
        <v>1.3438630599999997</v>
      </c>
      <c r="P94" s="24">
        <f t="shared" si="34"/>
        <v>2.5610685662</v>
      </c>
      <c r="Q94" s="24">
        <f t="shared" si="34"/>
        <v>1.3438630599999997</v>
      </c>
      <c r="R94" s="24">
        <f t="shared" si="34"/>
        <v>0.41638767380000025</v>
      </c>
      <c r="S94" s="24">
        <f t="shared" si="34"/>
        <v>-0.41638767380000025</v>
      </c>
      <c r="T94" s="25">
        <f>(E94-D94)/D94*100</f>
        <v>-13.984678203028775</v>
      </c>
      <c r="U94" s="24">
        <f>SUM(U95:U102)</f>
        <v>-0.41638767380000025</v>
      </c>
      <c r="V94" s="22"/>
      <c r="W94" s="20"/>
    </row>
    <row r="95" spans="1:23" ht="60">
      <c r="A95" s="41" t="s">
        <v>191</v>
      </c>
      <c r="B95" s="35" t="s">
        <v>192</v>
      </c>
      <c r="C95" s="31">
        <v>0</v>
      </c>
      <c r="D95" s="31">
        <f>944.21122/1000</f>
        <v>0.94421122</v>
      </c>
      <c r="E95" s="31">
        <f aca="true" t="shared" si="35" ref="E95:E103">G95+I95+K95+M95</f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6">
        <v>0</v>
      </c>
      <c r="L95" s="31">
        <f>D95</f>
        <v>0.94421122</v>
      </c>
      <c r="M95" s="31">
        <v>0</v>
      </c>
      <c r="N95" s="31">
        <f aca="true" t="shared" si="36" ref="N95:N102">E95</f>
        <v>0</v>
      </c>
      <c r="O95" s="26">
        <f aca="true" t="shared" si="37" ref="O95:Q102">M95</f>
        <v>0</v>
      </c>
      <c r="P95" s="26">
        <f t="shared" si="37"/>
        <v>0</v>
      </c>
      <c r="Q95" s="26">
        <f t="shared" si="37"/>
        <v>0</v>
      </c>
      <c r="R95" s="26">
        <f aca="true" t="shared" si="38" ref="R95:R106">D95-E95</f>
        <v>0.94421122</v>
      </c>
      <c r="S95" s="31">
        <f aca="true" t="shared" si="39" ref="S95:S106">E95-D95</f>
        <v>-0.94421122</v>
      </c>
      <c r="T95" s="37">
        <f>(E95-D95)/D95*100</f>
        <v>-100</v>
      </c>
      <c r="U95" s="31">
        <f aca="true" t="shared" si="40" ref="U95:U106">S95</f>
        <v>-0.94421122</v>
      </c>
      <c r="V95" s="22"/>
      <c r="W95" s="27"/>
    </row>
    <row r="96" spans="1:23" ht="30">
      <c r="A96" s="41" t="s">
        <v>193</v>
      </c>
      <c r="B96" s="35" t="s">
        <v>194</v>
      </c>
      <c r="C96" s="31">
        <v>0</v>
      </c>
      <c r="D96" s="31">
        <f>2033.24502/1000</f>
        <v>2.03324502</v>
      </c>
      <c r="E96" s="31">
        <f t="shared" si="35"/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6">
        <v>0</v>
      </c>
      <c r="L96" s="31">
        <f>D96</f>
        <v>2.03324502</v>
      </c>
      <c r="M96" s="31">
        <v>0</v>
      </c>
      <c r="N96" s="31">
        <f t="shared" si="36"/>
        <v>0</v>
      </c>
      <c r="O96" s="26">
        <f t="shared" si="37"/>
        <v>0</v>
      </c>
      <c r="P96" s="26">
        <f t="shared" si="37"/>
        <v>0</v>
      </c>
      <c r="Q96" s="26">
        <f t="shared" si="37"/>
        <v>0</v>
      </c>
      <c r="R96" s="26">
        <f t="shared" si="38"/>
        <v>2.03324502</v>
      </c>
      <c r="S96" s="31">
        <f t="shared" si="39"/>
        <v>-2.03324502</v>
      </c>
      <c r="T96" s="37">
        <f>(E96-D96)/D96*100</f>
        <v>-100</v>
      </c>
      <c r="U96" s="31">
        <f t="shared" si="40"/>
        <v>-2.03324502</v>
      </c>
      <c r="V96" s="22"/>
      <c r="W96" s="27"/>
    </row>
    <row r="97" spans="1:23" ht="48" customHeight="1">
      <c r="A97" s="41" t="s">
        <v>195</v>
      </c>
      <c r="B97" s="35" t="s">
        <v>196</v>
      </c>
      <c r="C97" s="31">
        <v>0</v>
      </c>
      <c r="D97" s="31">
        <f>F97+H97+J97+L97</f>
        <v>0</v>
      </c>
      <c r="E97" s="31">
        <f t="shared" si="35"/>
        <v>0.3135100228</v>
      </c>
      <c r="F97" s="31">
        <v>0</v>
      </c>
      <c r="G97" s="31">
        <v>0</v>
      </c>
      <c r="H97" s="31">
        <v>0</v>
      </c>
      <c r="I97" s="31">
        <f>265.68646*1.18/1000</f>
        <v>0.3135100228</v>
      </c>
      <c r="J97" s="31">
        <v>0</v>
      </c>
      <c r="K97" s="36">
        <v>0</v>
      </c>
      <c r="L97" s="31">
        <v>0</v>
      </c>
      <c r="M97" s="31">
        <v>0</v>
      </c>
      <c r="N97" s="31">
        <f t="shared" si="36"/>
        <v>0.3135100228</v>
      </c>
      <c r="O97" s="26">
        <f t="shared" si="37"/>
        <v>0</v>
      </c>
      <c r="P97" s="26">
        <f t="shared" si="37"/>
        <v>0.3135100228</v>
      </c>
      <c r="Q97" s="26">
        <f t="shared" si="37"/>
        <v>0</v>
      </c>
      <c r="R97" s="26">
        <f t="shared" si="38"/>
        <v>-0.3135100228</v>
      </c>
      <c r="S97" s="31">
        <f t="shared" si="39"/>
        <v>0.3135100228</v>
      </c>
      <c r="T97" s="37"/>
      <c r="U97" s="31">
        <f t="shared" si="40"/>
        <v>0.3135100228</v>
      </c>
      <c r="V97" s="22"/>
      <c r="W97" s="27"/>
    </row>
    <row r="98" spans="1:23" ht="48" customHeight="1">
      <c r="A98" s="41" t="s">
        <v>197</v>
      </c>
      <c r="B98" s="35" t="s">
        <v>198</v>
      </c>
      <c r="C98" s="31">
        <v>0</v>
      </c>
      <c r="D98" s="31">
        <f>F98+H98+J98+L98</f>
        <v>0</v>
      </c>
      <c r="E98" s="31">
        <f t="shared" si="35"/>
        <v>0.873695482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f>740.4199*1.18/1000</f>
        <v>0.873695482</v>
      </c>
      <c r="L98" s="31">
        <v>0</v>
      </c>
      <c r="M98" s="31">
        <v>0</v>
      </c>
      <c r="N98" s="31">
        <f t="shared" si="36"/>
        <v>0.873695482</v>
      </c>
      <c r="O98" s="26">
        <f t="shared" si="37"/>
        <v>0</v>
      </c>
      <c r="P98" s="26">
        <f t="shared" si="37"/>
        <v>0.873695482</v>
      </c>
      <c r="Q98" s="26">
        <f t="shared" si="37"/>
        <v>0</v>
      </c>
      <c r="R98" s="26">
        <f t="shared" si="38"/>
        <v>-0.873695482</v>
      </c>
      <c r="S98" s="31">
        <f t="shared" si="39"/>
        <v>0.873695482</v>
      </c>
      <c r="T98" s="37"/>
      <c r="U98" s="31">
        <f t="shared" si="40"/>
        <v>0.873695482</v>
      </c>
      <c r="V98" s="42"/>
      <c r="W98" s="27"/>
    </row>
    <row r="99" spans="1:23" ht="30">
      <c r="A99" s="41" t="s">
        <v>199</v>
      </c>
      <c r="B99" s="35" t="s">
        <v>200</v>
      </c>
      <c r="C99" s="31">
        <v>0</v>
      </c>
      <c r="D99" s="31">
        <f>F99+H99+J99+L99</f>
        <v>0</v>
      </c>
      <c r="E99" s="31">
        <f t="shared" si="35"/>
        <v>0.019999997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f>16.94915*1.18/1000</f>
        <v>0.019999997</v>
      </c>
      <c r="L99" s="31">
        <v>0</v>
      </c>
      <c r="M99" s="31">
        <v>0</v>
      </c>
      <c r="N99" s="31">
        <f t="shared" si="36"/>
        <v>0.019999997</v>
      </c>
      <c r="O99" s="26">
        <f t="shared" si="37"/>
        <v>0</v>
      </c>
      <c r="P99" s="26">
        <f t="shared" si="37"/>
        <v>0.019999997</v>
      </c>
      <c r="Q99" s="26">
        <f t="shared" si="37"/>
        <v>0</v>
      </c>
      <c r="R99" s="26">
        <f t="shared" si="38"/>
        <v>-0.019999997</v>
      </c>
      <c r="S99" s="31">
        <f t="shared" si="39"/>
        <v>0.019999997</v>
      </c>
      <c r="T99" s="37"/>
      <c r="U99" s="31">
        <f t="shared" si="40"/>
        <v>0.019999997</v>
      </c>
      <c r="V99" s="42"/>
      <c r="W99" s="27"/>
    </row>
    <row r="100" spans="1:23" ht="45">
      <c r="A100" s="41" t="s">
        <v>201</v>
      </c>
      <c r="B100" s="35" t="s">
        <v>202</v>
      </c>
      <c r="C100" s="31">
        <v>0</v>
      </c>
      <c r="D100" s="31">
        <f>F100+H100+J100+L100</f>
        <v>0</v>
      </c>
      <c r="E100" s="31">
        <f t="shared" si="35"/>
        <v>0.010000004399999998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f>8.47458*1.18/1000</f>
        <v>0.010000004399999998</v>
      </c>
      <c r="L100" s="31">
        <v>0</v>
      </c>
      <c r="M100" s="31">
        <v>0</v>
      </c>
      <c r="N100" s="31">
        <f t="shared" si="36"/>
        <v>0.010000004399999998</v>
      </c>
      <c r="O100" s="26">
        <f t="shared" si="37"/>
        <v>0</v>
      </c>
      <c r="P100" s="26">
        <f t="shared" si="37"/>
        <v>0.010000004399999998</v>
      </c>
      <c r="Q100" s="26">
        <f t="shared" si="37"/>
        <v>0</v>
      </c>
      <c r="R100" s="26">
        <f t="shared" si="38"/>
        <v>-0.010000004399999998</v>
      </c>
      <c r="S100" s="31">
        <f t="shared" si="39"/>
        <v>0.010000004399999998</v>
      </c>
      <c r="T100" s="37"/>
      <c r="U100" s="31">
        <f t="shared" si="40"/>
        <v>0.010000004399999998</v>
      </c>
      <c r="V100" s="42"/>
      <c r="W100" s="27"/>
    </row>
    <row r="101" spans="1:23" ht="45">
      <c r="A101" s="41" t="s">
        <v>203</v>
      </c>
      <c r="B101" s="35" t="s">
        <v>204</v>
      </c>
      <c r="C101" s="31">
        <v>0</v>
      </c>
      <c r="D101" s="43">
        <v>0</v>
      </c>
      <c r="E101" s="31">
        <f t="shared" si="35"/>
        <v>1.3415030599999997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f>1136.867*1.18/1000</f>
        <v>1.3415030599999997</v>
      </c>
      <c r="N101" s="31">
        <f t="shared" si="36"/>
        <v>1.3415030599999997</v>
      </c>
      <c r="O101" s="26">
        <f t="shared" si="37"/>
        <v>1.3415030599999997</v>
      </c>
      <c r="P101" s="26">
        <f t="shared" si="37"/>
        <v>1.3415030599999997</v>
      </c>
      <c r="Q101" s="26">
        <f t="shared" si="37"/>
        <v>1.3415030599999997</v>
      </c>
      <c r="R101" s="26">
        <f t="shared" si="38"/>
        <v>-1.3415030599999997</v>
      </c>
      <c r="S101" s="31">
        <f t="shared" si="39"/>
        <v>1.3415030599999997</v>
      </c>
      <c r="T101" s="37"/>
      <c r="U101" s="31">
        <f t="shared" si="40"/>
        <v>1.3415030599999997</v>
      </c>
      <c r="V101" s="42"/>
      <c r="W101" s="44"/>
    </row>
    <row r="102" spans="1:23" ht="30">
      <c r="A102" s="41" t="s">
        <v>205</v>
      </c>
      <c r="B102" s="35" t="s">
        <v>206</v>
      </c>
      <c r="C102" s="31">
        <v>0</v>
      </c>
      <c r="D102" s="43">
        <v>0</v>
      </c>
      <c r="E102" s="31">
        <f t="shared" si="35"/>
        <v>0.0023599999999999997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f>2*1.18/1000</f>
        <v>0.0023599999999999997</v>
      </c>
      <c r="N102" s="31">
        <f t="shared" si="36"/>
        <v>0.0023599999999999997</v>
      </c>
      <c r="O102" s="26">
        <f t="shared" si="37"/>
        <v>0.0023599999999999997</v>
      </c>
      <c r="P102" s="26">
        <f t="shared" si="37"/>
        <v>0.0023599999999999997</v>
      </c>
      <c r="Q102" s="26">
        <f t="shared" si="37"/>
        <v>0.0023599999999999997</v>
      </c>
      <c r="R102" s="26">
        <f t="shared" si="38"/>
        <v>-0.0023599999999999997</v>
      </c>
      <c r="S102" s="31">
        <f t="shared" si="39"/>
        <v>0.0023599999999999997</v>
      </c>
      <c r="T102" s="37"/>
      <c r="U102" s="31">
        <f t="shared" si="40"/>
        <v>0.0023599999999999997</v>
      </c>
      <c r="V102" s="42"/>
      <c r="W102" s="44"/>
    </row>
    <row r="103" spans="1:23" s="40" customFormat="1" ht="33" customHeight="1">
      <c r="A103" s="45" t="s">
        <v>207</v>
      </c>
      <c r="B103" s="35" t="s">
        <v>208</v>
      </c>
      <c r="C103" s="46">
        <v>0</v>
      </c>
      <c r="D103" s="47">
        <f>284.7314323136/1000</f>
        <v>0.2847314323136</v>
      </c>
      <c r="E103" s="24">
        <f t="shared" si="35"/>
        <v>3.9773629407999995</v>
      </c>
      <c r="F103" s="48">
        <f aca="true" t="shared" si="41" ref="F103:Q103">SUM(F104:F106)</f>
        <v>0</v>
      </c>
      <c r="G103" s="48">
        <f t="shared" si="41"/>
        <v>0</v>
      </c>
      <c r="H103" s="48">
        <f t="shared" si="41"/>
        <v>0</v>
      </c>
      <c r="I103" s="48">
        <f t="shared" si="41"/>
        <v>0</v>
      </c>
      <c r="J103" s="48">
        <f t="shared" si="41"/>
        <v>0.2847314323136</v>
      </c>
      <c r="K103" s="48">
        <f t="shared" si="41"/>
        <v>0.0160029948</v>
      </c>
      <c r="L103" s="48">
        <f t="shared" si="41"/>
        <v>0</v>
      </c>
      <c r="M103" s="48">
        <f t="shared" si="41"/>
        <v>3.9613599459999995</v>
      </c>
      <c r="N103" s="48">
        <f t="shared" si="41"/>
        <v>3.9773629407999995</v>
      </c>
      <c r="O103" s="48">
        <f t="shared" si="41"/>
        <v>3.9613599459999995</v>
      </c>
      <c r="P103" s="48">
        <f t="shared" si="41"/>
        <v>3.9773629407999995</v>
      </c>
      <c r="Q103" s="48">
        <f t="shared" si="41"/>
        <v>3.9613599459999995</v>
      </c>
      <c r="R103" s="24">
        <f t="shared" si="38"/>
        <v>-3.6926315084863996</v>
      </c>
      <c r="S103" s="49">
        <f t="shared" si="39"/>
        <v>3.6926315084863996</v>
      </c>
      <c r="T103" s="50">
        <f>(E103-D103)/D103*100</f>
        <v>1296.8822860482003</v>
      </c>
      <c r="U103" s="49">
        <f t="shared" si="40"/>
        <v>3.6926315084863996</v>
      </c>
      <c r="V103" s="22"/>
      <c r="W103" s="51"/>
    </row>
    <row r="104" spans="1:23" ht="15">
      <c r="A104" s="44" t="s">
        <v>209</v>
      </c>
      <c r="B104" s="52" t="s">
        <v>210</v>
      </c>
      <c r="C104" s="46">
        <v>0</v>
      </c>
      <c r="D104" s="47">
        <f>284.7314323136/1000</f>
        <v>0.2847314323136</v>
      </c>
      <c r="E104" s="31">
        <f>K104</f>
        <v>0.0160029948</v>
      </c>
      <c r="F104" s="31">
        <v>0</v>
      </c>
      <c r="G104" s="31">
        <v>0</v>
      </c>
      <c r="H104" s="31">
        <v>0</v>
      </c>
      <c r="I104" s="31">
        <v>0</v>
      </c>
      <c r="J104" s="43">
        <v>0.2847314323136</v>
      </c>
      <c r="K104" s="43">
        <f>13.56186*1.18/1000</f>
        <v>0.0160029948</v>
      </c>
      <c r="L104" s="31">
        <v>0</v>
      </c>
      <c r="M104" s="53">
        <v>0</v>
      </c>
      <c r="N104" s="31">
        <f>E104</f>
        <v>0.0160029948</v>
      </c>
      <c r="O104" s="26">
        <f aca="true" t="shared" si="42" ref="O104:Q106">M104</f>
        <v>0</v>
      </c>
      <c r="P104" s="26">
        <f t="shared" si="42"/>
        <v>0.0160029948</v>
      </c>
      <c r="Q104" s="54">
        <f t="shared" si="42"/>
        <v>0</v>
      </c>
      <c r="R104" s="55">
        <f t="shared" si="38"/>
        <v>0.2687284375136</v>
      </c>
      <c r="S104" s="43">
        <f t="shared" si="39"/>
        <v>-0.2687284375136</v>
      </c>
      <c r="T104" s="50">
        <f>(E104-D104)/D104*100</f>
        <v>-94.3796177787725</v>
      </c>
      <c r="U104" s="43">
        <f t="shared" si="40"/>
        <v>-0.2687284375136</v>
      </c>
      <c r="V104" s="49"/>
      <c r="W104" s="44"/>
    </row>
    <row r="105" spans="1:23" ht="15">
      <c r="A105" s="27" t="s">
        <v>211</v>
      </c>
      <c r="B105" s="35" t="s">
        <v>212</v>
      </c>
      <c r="C105" s="31">
        <v>0</v>
      </c>
      <c r="D105" s="43">
        <v>0</v>
      </c>
      <c r="E105" s="43">
        <f>G105+I105+K105+M105</f>
        <v>3.8999999459999994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f>3305.0847*1.18/1000</f>
        <v>3.8999999459999994</v>
      </c>
      <c r="N105" s="31">
        <f>E105</f>
        <v>3.8999999459999994</v>
      </c>
      <c r="O105" s="26">
        <f t="shared" si="42"/>
        <v>3.8999999459999994</v>
      </c>
      <c r="P105" s="26">
        <f t="shared" si="42"/>
        <v>3.8999999459999994</v>
      </c>
      <c r="Q105" s="26">
        <f t="shared" si="42"/>
        <v>3.8999999459999994</v>
      </c>
      <c r="R105" s="26">
        <f t="shared" si="38"/>
        <v>-3.8999999459999994</v>
      </c>
      <c r="S105" s="31">
        <f t="shared" si="39"/>
        <v>3.8999999459999994</v>
      </c>
      <c r="T105" s="50"/>
      <c r="U105" s="31">
        <f t="shared" si="40"/>
        <v>3.8999999459999994</v>
      </c>
      <c r="V105" s="42"/>
      <c r="W105" s="44"/>
    </row>
    <row r="106" spans="1:23" ht="15">
      <c r="A106" s="27" t="s">
        <v>213</v>
      </c>
      <c r="B106" s="35" t="s">
        <v>214</v>
      </c>
      <c r="C106" s="31">
        <v>0</v>
      </c>
      <c r="D106" s="56"/>
      <c r="E106" s="31">
        <f>M106</f>
        <v>0.06136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53">
        <f>52*1.18/1000</f>
        <v>0.06136</v>
      </c>
      <c r="N106" s="31">
        <f>E106</f>
        <v>0.06136</v>
      </c>
      <c r="O106" s="26">
        <f t="shared" si="42"/>
        <v>0.06136</v>
      </c>
      <c r="P106" s="26">
        <f t="shared" si="42"/>
        <v>0.06136</v>
      </c>
      <c r="Q106" s="26">
        <f t="shared" si="42"/>
        <v>0.06136</v>
      </c>
      <c r="R106" s="26">
        <f t="shared" si="38"/>
        <v>-0.06136</v>
      </c>
      <c r="S106" s="31">
        <f t="shared" si="39"/>
        <v>0.06136</v>
      </c>
      <c r="T106" s="31"/>
      <c r="U106" s="31">
        <f t="shared" si="40"/>
        <v>0.06136</v>
      </c>
      <c r="V106" s="27"/>
      <c r="W106" s="27"/>
    </row>
    <row r="107" spans="1:23" ht="15">
      <c r="A107" s="4"/>
      <c r="B107" s="57"/>
      <c r="C107" s="58"/>
      <c r="D107" s="58"/>
      <c r="E107" s="59"/>
      <c r="F107" s="60"/>
      <c r="G107" s="60"/>
      <c r="H107" s="60"/>
      <c r="I107" s="60"/>
      <c r="J107" s="60"/>
      <c r="K107" s="59"/>
      <c r="L107" s="60"/>
      <c r="M107" s="60"/>
      <c r="N107" s="60"/>
      <c r="O107" s="60"/>
      <c r="P107" s="60"/>
      <c r="Q107" s="60"/>
      <c r="R107" s="61"/>
      <c r="S107" s="4"/>
      <c r="T107" s="4"/>
      <c r="U107" s="4"/>
      <c r="V107" s="4"/>
      <c r="W107" s="4"/>
    </row>
    <row r="109" spans="2:21" ht="22.5" customHeight="1">
      <c r="B109" s="211" t="s">
        <v>215</v>
      </c>
      <c r="C109" s="211"/>
      <c r="D109" s="62"/>
      <c r="E109" s="62"/>
      <c r="F109" s="62"/>
      <c r="G109" s="62"/>
      <c r="H109" s="62"/>
      <c r="P109" s="212"/>
      <c r="Q109" s="212"/>
      <c r="T109" s="211" t="s">
        <v>216</v>
      </c>
      <c r="U109" s="211"/>
    </row>
    <row r="111" ht="15">
      <c r="D111" s="63"/>
    </row>
    <row r="113" spans="4:22" ht="15">
      <c r="D113" s="161"/>
      <c r="E113" s="162"/>
      <c r="F113" s="64"/>
      <c r="G113" s="65"/>
      <c r="H113" s="64"/>
      <c r="I113" s="65"/>
      <c r="J113" s="66"/>
      <c r="K113" s="65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4:21" ht="15">
      <c r="D114" s="163">
        <f>D16/1.18</f>
        <v>16.888106</v>
      </c>
      <c r="E114" s="163">
        <f aca="true" t="shared" si="43" ref="E114:U114">E16/1.18</f>
        <v>17.493990869999998</v>
      </c>
      <c r="F114" s="163">
        <f t="shared" si="43"/>
        <v>1.438738</v>
      </c>
      <c r="G114" s="163">
        <f t="shared" si="43"/>
        <v>1.438738</v>
      </c>
      <c r="H114" s="163">
        <f t="shared" si="43"/>
        <v>1.3570349280000003</v>
      </c>
      <c r="I114" s="163">
        <f t="shared" si="43"/>
        <v>3.88615456</v>
      </c>
      <c r="J114" s="163">
        <f t="shared" si="43"/>
        <v>2.6331008239945763</v>
      </c>
      <c r="K114" s="163">
        <f t="shared" si="43"/>
        <v>1.0689135600000002</v>
      </c>
      <c r="L114" s="163">
        <f t="shared" si="43"/>
        <v>11.459232248005424</v>
      </c>
      <c r="M114" s="163">
        <f t="shared" si="43"/>
        <v>11.10018475</v>
      </c>
      <c r="N114" s="163">
        <f t="shared" si="43"/>
        <v>17.493990869999998</v>
      </c>
      <c r="O114" s="163">
        <f t="shared" si="43"/>
        <v>11.10018475</v>
      </c>
      <c r="P114" s="163">
        <f t="shared" si="43"/>
        <v>17.493990869999998</v>
      </c>
      <c r="Q114" s="163">
        <f t="shared" si="43"/>
        <v>11.10018475</v>
      </c>
      <c r="R114" s="163">
        <f t="shared" si="43"/>
        <v>-0.6058848699999971</v>
      </c>
      <c r="S114" s="163">
        <f t="shared" si="43"/>
        <v>0.6058848699999964</v>
      </c>
      <c r="T114" s="163">
        <f t="shared" si="43"/>
        <v>3.0403750085254444</v>
      </c>
      <c r="U114" s="163">
        <f t="shared" si="43"/>
        <v>0.6058848699999964</v>
      </c>
    </row>
    <row r="115" spans="4:5" ht="15">
      <c r="D115" s="60"/>
      <c r="E115" s="58"/>
    </row>
    <row r="116" spans="4:5" ht="15">
      <c r="D116" s="60"/>
      <c r="E116" s="58"/>
    </row>
    <row r="117" spans="4:5" ht="15">
      <c r="D117" s="60"/>
      <c r="E117" s="60"/>
    </row>
  </sheetData>
  <sheetProtection selectLockedCells="1" selectUnlockedCells="1"/>
  <mergeCells count="28">
    <mergeCell ref="AR9:AT9"/>
    <mergeCell ref="A11:W11"/>
    <mergeCell ref="U1:V1"/>
    <mergeCell ref="T5:W5"/>
    <mergeCell ref="Y9:AA9"/>
    <mergeCell ref="AB9:AC9"/>
    <mergeCell ref="AD9:AN9"/>
    <mergeCell ref="AO9:AQ9"/>
    <mergeCell ref="T14:T15"/>
    <mergeCell ref="U14:V14"/>
    <mergeCell ref="A13:A15"/>
    <mergeCell ref="B13:B15"/>
    <mergeCell ref="C13:C15"/>
    <mergeCell ref="D13:M13"/>
    <mergeCell ref="L14:M14"/>
    <mergeCell ref="S14:S15"/>
    <mergeCell ref="R13:R15"/>
    <mergeCell ref="S13:V13"/>
    <mergeCell ref="B109:C109"/>
    <mergeCell ref="P109:Q109"/>
    <mergeCell ref="T109:U109"/>
    <mergeCell ref="W13:W15"/>
    <mergeCell ref="D14:E14"/>
    <mergeCell ref="F14:G14"/>
    <mergeCell ref="H14:I14"/>
    <mergeCell ref="J14:K14"/>
    <mergeCell ref="N13:O14"/>
    <mergeCell ref="P13:Q14"/>
  </mergeCells>
  <dataValidations count="1">
    <dataValidation type="textLength" operator="lessThanOrEqual" allowBlank="1" showErrorMessage="1" errorTitle="Ошибка" error="Допускается ввод не более 900 символов!" sqref="B87:B93 B101:B102 B105">
      <formula1>900</formula1>
    </dataValidation>
  </dataValidations>
  <printOptions horizontalCentered="1"/>
  <pageMargins left="0.19652777777777777" right="0.19652777777777777" top="0.27569444444444446" bottom="0.27569444444444446" header="0.5118055555555555" footer="0.5118055555555555"/>
  <pageSetup horizontalDpi="300" verticalDpi="300" orientation="landscape" paperSize="21" scale="39" r:id="rId1"/>
  <rowBreaks count="2" manualBreakCount="2">
    <brk id="62" max="255" man="1"/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T46"/>
  <sheetViews>
    <sheetView tabSelected="1" view="pageBreakPreview" zoomScaleSheetLayoutView="100" zoomScalePageLayoutView="0" workbookViewId="0" topLeftCell="A1">
      <selection activeCell="DK31" sqref="DK31"/>
    </sheetView>
  </sheetViews>
  <sheetFormatPr defaultColWidth="0.875" defaultRowHeight="12.75"/>
  <cols>
    <col min="1" max="105" width="0.875" style="179" customWidth="1"/>
    <col min="106" max="106" width="3.625" style="179" customWidth="1"/>
    <col min="107" max="114" width="0.875" style="179" customWidth="1"/>
    <col min="115" max="115" width="10.375" style="179" customWidth="1"/>
    <col min="116" max="119" width="0.875" style="179" customWidth="1"/>
    <col min="120" max="120" width="9.00390625" style="179" customWidth="1"/>
    <col min="121" max="16384" width="0.875" style="179" customWidth="1"/>
  </cols>
  <sheetData>
    <row r="1" ht="11.25">
      <c r="DD1" s="180" t="s">
        <v>443</v>
      </c>
    </row>
    <row r="2" ht="11.25">
      <c r="DD2" s="180" t="s">
        <v>1</v>
      </c>
    </row>
    <row r="3" spans="72:108" ht="11.25"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0" t="s">
        <v>2</v>
      </c>
    </row>
    <row r="4" spans="72:108" s="182" customFormat="1" ht="15.75"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4"/>
    </row>
    <row r="5" spans="1:108" s="187" customFormat="1" ht="30.75" customHeight="1">
      <c r="A5" s="371" t="s">
        <v>444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</row>
    <row r="6" spans="1:108" s="187" customFormat="1" ht="15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</row>
    <row r="7" spans="1:108" s="187" customFormat="1" ht="15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9" t="s">
        <v>445</v>
      </c>
    </row>
    <row r="8" spans="1:108" s="190" customFormat="1" ht="48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Z8" s="191"/>
      <c r="CA8" s="191"/>
      <c r="CB8" s="191"/>
      <c r="CC8" s="191"/>
      <c r="CD8" s="191"/>
      <c r="CE8" s="347" t="s">
        <v>446</v>
      </c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</row>
    <row r="9" spans="79:108" s="191" customFormat="1" ht="12.75"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</row>
    <row r="10" spans="78:108" s="191" customFormat="1" ht="12.75">
      <c r="BZ10" s="179"/>
      <c r="CA10" s="343" t="s">
        <v>4</v>
      </c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</row>
    <row r="11" spans="78:108" ht="12" customHeight="1">
      <c r="BZ11" s="344" t="s">
        <v>281</v>
      </c>
      <c r="CA11" s="344"/>
      <c r="CB11" s="345" t="s">
        <v>447</v>
      </c>
      <c r="CC11" s="345"/>
      <c r="CD11" s="345"/>
      <c r="CE11" s="346" t="s">
        <v>281</v>
      </c>
      <c r="CF11" s="346"/>
      <c r="CG11" s="191"/>
      <c r="CH11" s="345" t="s">
        <v>448</v>
      </c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191"/>
      <c r="CT11" s="344">
        <v>20</v>
      </c>
      <c r="CU11" s="344"/>
      <c r="CV11" s="344"/>
      <c r="CW11" s="406" t="s">
        <v>284</v>
      </c>
      <c r="CX11" s="406"/>
      <c r="CY11" s="406"/>
      <c r="CZ11" s="192" t="s">
        <v>449</v>
      </c>
      <c r="DA11" s="191"/>
      <c r="DB11" s="191"/>
      <c r="DC11" s="191"/>
      <c r="DD11" s="192"/>
    </row>
    <row r="12" s="191" customFormat="1" ht="12.75">
      <c r="DD12" s="189" t="s">
        <v>8</v>
      </c>
    </row>
    <row r="13" s="191" customFormat="1" ht="13.5" thickBot="1"/>
    <row r="14" spans="1:108" s="190" customFormat="1" ht="40.5" customHeight="1">
      <c r="A14" s="395" t="s">
        <v>219</v>
      </c>
      <c r="B14" s="396"/>
      <c r="C14" s="396"/>
      <c r="D14" s="396"/>
      <c r="E14" s="396"/>
      <c r="F14" s="396"/>
      <c r="G14" s="397"/>
      <c r="H14" s="401" t="s">
        <v>285</v>
      </c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11" t="s">
        <v>450</v>
      </c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3"/>
      <c r="BR14" s="407" t="s">
        <v>18</v>
      </c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408"/>
    </row>
    <row r="15" spans="1:108" s="190" customFormat="1" ht="13.5" thickBot="1">
      <c r="A15" s="398"/>
      <c r="B15" s="399"/>
      <c r="C15" s="399"/>
      <c r="D15" s="399"/>
      <c r="E15" s="399"/>
      <c r="F15" s="399"/>
      <c r="G15" s="400"/>
      <c r="H15" s="403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5" t="s">
        <v>286</v>
      </c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 t="s">
        <v>287</v>
      </c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399"/>
      <c r="DB15" s="399"/>
      <c r="DC15" s="399"/>
      <c r="DD15" s="410"/>
    </row>
    <row r="16" spans="1:108" s="190" customFormat="1" ht="12.75">
      <c r="A16" s="388" t="s">
        <v>288</v>
      </c>
      <c r="B16" s="389"/>
      <c r="C16" s="389"/>
      <c r="D16" s="389"/>
      <c r="E16" s="389"/>
      <c r="F16" s="389"/>
      <c r="G16" s="389"/>
      <c r="H16" s="387" t="s">
        <v>289</v>
      </c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93">
        <f>AT17+AT24+AT28+AT29+AT31</f>
        <v>16.88811075</v>
      </c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0">
        <f>BF17+BF24+BF28+BF29+BF31</f>
        <v>17.49399127576271</v>
      </c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2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1"/>
    </row>
    <row r="17" spans="1:120" s="191" customFormat="1" ht="12.75">
      <c r="A17" s="361" t="s">
        <v>36</v>
      </c>
      <c r="B17" s="362"/>
      <c r="C17" s="362"/>
      <c r="D17" s="362"/>
      <c r="E17" s="362"/>
      <c r="F17" s="362"/>
      <c r="G17" s="362"/>
      <c r="H17" s="370" t="s">
        <v>291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8">
        <f>AT18+AT19+AT20+AT23</f>
        <v>4.57889</v>
      </c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84">
        <f>BF18+BF19+BF20+BF23</f>
        <v>5.124275595762709</v>
      </c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6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3"/>
      <c r="DP17" s="190"/>
    </row>
    <row r="18" spans="1:120" s="191" customFormat="1" ht="25.5" customHeight="1">
      <c r="A18" s="361" t="s">
        <v>38</v>
      </c>
      <c r="B18" s="362"/>
      <c r="C18" s="362"/>
      <c r="D18" s="362"/>
      <c r="E18" s="362"/>
      <c r="F18" s="362"/>
      <c r="G18" s="362"/>
      <c r="H18" s="360" t="s">
        <v>293</v>
      </c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78">
        <v>4.57889</v>
      </c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84">
        <v>5.11315101576271</v>
      </c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6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3"/>
      <c r="DP18" s="190"/>
    </row>
    <row r="19" spans="1:120" s="191" customFormat="1" ht="12.75">
      <c r="A19" s="361" t="s">
        <v>40</v>
      </c>
      <c r="B19" s="362"/>
      <c r="C19" s="362"/>
      <c r="D19" s="362"/>
      <c r="E19" s="362"/>
      <c r="F19" s="362"/>
      <c r="G19" s="362"/>
      <c r="H19" s="360" t="s">
        <v>295</v>
      </c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84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6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352"/>
      <c r="CS19" s="352"/>
      <c r="CT19" s="352"/>
      <c r="CU19" s="352"/>
      <c r="CV19" s="352"/>
      <c r="CW19" s="352"/>
      <c r="CX19" s="352"/>
      <c r="CY19" s="352"/>
      <c r="CZ19" s="352"/>
      <c r="DA19" s="352"/>
      <c r="DB19" s="352"/>
      <c r="DC19" s="352"/>
      <c r="DD19" s="353"/>
      <c r="DP19" s="190"/>
    </row>
    <row r="20" spans="1:120" s="191" customFormat="1" ht="39" customHeight="1">
      <c r="A20" s="361" t="s">
        <v>42</v>
      </c>
      <c r="B20" s="362"/>
      <c r="C20" s="362"/>
      <c r="D20" s="362"/>
      <c r="E20" s="362"/>
      <c r="F20" s="362"/>
      <c r="G20" s="362"/>
      <c r="H20" s="360" t="s">
        <v>297</v>
      </c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78">
        <f>AT21+AT22</f>
        <v>0</v>
      </c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84">
        <f>BF21+BF22</f>
        <v>0.01112458</v>
      </c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6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2"/>
      <c r="DD20" s="353"/>
      <c r="DP20" s="190"/>
    </row>
    <row r="21" spans="1:108" s="190" customFormat="1" ht="25.5" customHeight="1">
      <c r="A21" s="361" t="s">
        <v>451</v>
      </c>
      <c r="B21" s="362"/>
      <c r="C21" s="362"/>
      <c r="D21" s="362"/>
      <c r="E21" s="362"/>
      <c r="F21" s="362"/>
      <c r="G21" s="362"/>
      <c r="H21" s="360" t="s">
        <v>299</v>
      </c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78">
        <v>0</v>
      </c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84">
        <v>0.01112458</v>
      </c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6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3"/>
    </row>
    <row r="22" spans="1:120" s="191" customFormat="1" ht="25.5" customHeight="1">
      <c r="A22" s="361" t="s">
        <v>452</v>
      </c>
      <c r="B22" s="362"/>
      <c r="C22" s="362"/>
      <c r="D22" s="362"/>
      <c r="E22" s="362"/>
      <c r="F22" s="362"/>
      <c r="G22" s="362"/>
      <c r="H22" s="360" t="s">
        <v>301</v>
      </c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3"/>
      <c r="DP22" s="190"/>
    </row>
    <row r="23" spans="1:120" s="191" customFormat="1" ht="12.75">
      <c r="A23" s="361" t="s">
        <v>44</v>
      </c>
      <c r="B23" s="362"/>
      <c r="C23" s="362"/>
      <c r="D23" s="362"/>
      <c r="E23" s="362"/>
      <c r="F23" s="362"/>
      <c r="G23" s="362"/>
      <c r="H23" s="370" t="s">
        <v>303</v>
      </c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2"/>
      <c r="CO23" s="352"/>
      <c r="CP23" s="352"/>
      <c r="CQ23" s="352"/>
      <c r="CR23" s="352"/>
      <c r="CS23" s="352"/>
      <c r="CT23" s="352"/>
      <c r="CU23" s="352"/>
      <c r="CV23" s="352"/>
      <c r="CW23" s="352"/>
      <c r="CX23" s="352"/>
      <c r="CY23" s="352"/>
      <c r="CZ23" s="352"/>
      <c r="DA23" s="352"/>
      <c r="DB23" s="352"/>
      <c r="DC23" s="352"/>
      <c r="DD23" s="353"/>
      <c r="DP23" s="190"/>
    </row>
    <row r="24" spans="1:124" s="191" customFormat="1" ht="12.75">
      <c r="A24" s="361" t="s">
        <v>453</v>
      </c>
      <c r="B24" s="362"/>
      <c r="C24" s="362"/>
      <c r="D24" s="362"/>
      <c r="E24" s="362"/>
      <c r="F24" s="362"/>
      <c r="G24" s="362"/>
      <c r="H24" s="370" t="s">
        <v>305</v>
      </c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84">
        <v>12.30922075</v>
      </c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6"/>
      <c r="BF24" s="384">
        <v>12.36971568</v>
      </c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6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2"/>
      <c r="CQ24" s="352"/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3"/>
      <c r="DP24" s="190"/>
      <c r="DT24" s="191">
        <v>12.34701084</v>
      </c>
    </row>
    <row r="25" spans="1:120" s="191" customFormat="1" ht="12.75">
      <c r="A25" s="361" t="s">
        <v>454</v>
      </c>
      <c r="B25" s="362"/>
      <c r="C25" s="362"/>
      <c r="D25" s="362"/>
      <c r="E25" s="362"/>
      <c r="F25" s="362"/>
      <c r="G25" s="362"/>
      <c r="H25" s="370" t="s">
        <v>307</v>
      </c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3"/>
      <c r="DK25" s="210"/>
      <c r="DP25" s="190"/>
    </row>
    <row r="26" spans="1:108" s="190" customFormat="1" ht="12.75">
      <c r="A26" s="361" t="s">
        <v>455</v>
      </c>
      <c r="B26" s="362"/>
      <c r="C26" s="362"/>
      <c r="D26" s="362"/>
      <c r="E26" s="362"/>
      <c r="F26" s="362"/>
      <c r="G26" s="362"/>
      <c r="H26" s="370" t="s">
        <v>309</v>
      </c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  <c r="CT26" s="352"/>
      <c r="CU26" s="352"/>
      <c r="CV26" s="352"/>
      <c r="CW26" s="352"/>
      <c r="CX26" s="352"/>
      <c r="CY26" s="352"/>
      <c r="CZ26" s="352"/>
      <c r="DA26" s="352"/>
      <c r="DB26" s="352"/>
      <c r="DC26" s="352"/>
      <c r="DD26" s="353"/>
    </row>
    <row r="27" spans="1:108" s="190" customFormat="1" ht="25.5" customHeight="1">
      <c r="A27" s="361" t="s">
        <v>456</v>
      </c>
      <c r="B27" s="362"/>
      <c r="C27" s="362"/>
      <c r="D27" s="362"/>
      <c r="E27" s="362"/>
      <c r="F27" s="362"/>
      <c r="G27" s="362"/>
      <c r="H27" s="360" t="s">
        <v>311</v>
      </c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52"/>
      <c r="CZ27" s="352"/>
      <c r="DA27" s="352"/>
      <c r="DB27" s="352"/>
      <c r="DC27" s="352"/>
      <c r="DD27" s="353"/>
    </row>
    <row r="28" spans="1:108" s="190" customFormat="1" ht="12.75">
      <c r="A28" s="361" t="s">
        <v>457</v>
      </c>
      <c r="B28" s="362"/>
      <c r="C28" s="362"/>
      <c r="D28" s="362"/>
      <c r="E28" s="362"/>
      <c r="F28" s="362"/>
      <c r="G28" s="362"/>
      <c r="H28" s="370" t="s">
        <v>313</v>
      </c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3"/>
    </row>
    <row r="29" spans="1:108" s="190" customFormat="1" ht="12.75">
      <c r="A29" s="361" t="s">
        <v>458</v>
      </c>
      <c r="B29" s="362"/>
      <c r="C29" s="362"/>
      <c r="D29" s="362"/>
      <c r="E29" s="362"/>
      <c r="F29" s="362"/>
      <c r="G29" s="362"/>
      <c r="H29" s="370" t="s">
        <v>315</v>
      </c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3"/>
    </row>
    <row r="30" spans="1:120" s="191" customFormat="1" ht="12.75">
      <c r="A30" s="361" t="s">
        <v>459</v>
      </c>
      <c r="B30" s="362"/>
      <c r="C30" s="362"/>
      <c r="D30" s="362"/>
      <c r="E30" s="362"/>
      <c r="F30" s="362"/>
      <c r="G30" s="362"/>
      <c r="H30" s="370" t="s">
        <v>317</v>
      </c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3"/>
      <c r="DP30" s="190"/>
    </row>
    <row r="31" spans="1:120" s="191" customFormat="1" ht="25.5" customHeight="1" thickBot="1">
      <c r="A31" s="363" t="s">
        <v>460</v>
      </c>
      <c r="B31" s="364"/>
      <c r="C31" s="364"/>
      <c r="D31" s="364"/>
      <c r="E31" s="364"/>
      <c r="F31" s="364"/>
      <c r="G31" s="364"/>
      <c r="H31" s="383" t="s">
        <v>319</v>
      </c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5"/>
      <c r="DP31" s="190"/>
    </row>
    <row r="32" spans="1:120" s="191" customFormat="1" ht="12.75">
      <c r="A32" s="379" t="s">
        <v>461</v>
      </c>
      <c r="B32" s="380"/>
      <c r="C32" s="380"/>
      <c r="D32" s="380"/>
      <c r="E32" s="380"/>
      <c r="F32" s="380"/>
      <c r="G32" s="380"/>
      <c r="H32" s="381" t="s">
        <v>320</v>
      </c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2">
        <f>AT33+AT34+AT35+AT36+AT37+AT38+AT39</f>
        <v>0</v>
      </c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>
        <f>BF33+BF34+BF35+BF36+BF37+BF38+BF39</f>
        <v>0</v>
      </c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7"/>
      <c r="DP32" s="190"/>
    </row>
    <row r="33" spans="1:120" s="191" customFormat="1" ht="12.75">
      <c r="A33" s="361" t="s">
        <v>191</v>
      </c>
      <c r="B33" s="362"/>
      <c r="C33" s="362"/>
      <c r="D33" s="362"/>
      <c r="E33" s="362"/>
      <c r="F33" s="362"/>
      <c r="G33" s="362"/>
      <c r="H33" s="370" t="s">
        <v>322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2"/>
      <c r="DD33" s="353"/>
      <c r="DP33" s="190"/>
    </row>
    <row r="34" spans="1:108" s="190" customFormat="1" ht="12.75">
      <c r="A34" s="361" t="s">
        <v>193</v>
      </c>
      <c r="B34" s="362"/>
      <c r="C34" s="362"/>
      <c r="D34" s="362"/>
      <c r="E34" s="362"/>
      <c r="F34" s="362"/>
      <c r="G34" s="362"/>
      <c r="H34" s="370" t="s">
        <v>324</v>
      </c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3"/>
    </row>
    <row r="35" spans="1:108" s="190" customFormat="1" ht="12.75">
      <c r="A35" s="361" t="s">
        <v>195</v>
      </c>
      <c r="B35" s="362"/>
      <c r="C35" s="362"/>
      <c r="D35" s="362"/>
      <c r="E35" s="362"/>
      <c r="F35" s="362"/>
      <c r="G35" s="362"/>
      <c r="H35" s="370" t="s">
        <v>326</v>
      </c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2"/>
      <c r="CM35" s="352"/>
      <c r="CN35" s="352"/>
      <c r="CO35" s="352"/>
      <c r="CP35" s="352"/>
      <c r="CQ35" s="352"/>
      <c r="CR35" s="352"/>
      <c r="CS35" s="352"/>
      <c r="CT35" s="352"/>
      <c r="CU35" s="352"/>
      <c r="CV35" s="352"/>
      <c r="CW35" s="352"/>
      <c r="CX35" s="352"/>
      <c r="CY35" s="352"/>
      <c r="CZ35" s="352"/>
      <c r="DA35" s="352"/>
      <c r="DB35" s="352"/>
      <c r="DC35" s="352"/>
      <c r="DD35" s="353"/>
    </row>
    <row r="36" spans="1:120" s="191" customFormat="1" ht="12.75">
      <c r="A36" s="361" t="s">
        <v>197</v>
      </c>
      <c r="B36" s="362"/>
      <c r="C36" s="362"/>
      <c r="D36" s="362"/>
      <c r="E36" s="362"/>
      <c r="F36" s="362"/>
      <c r="G36" s="362"/>
      <c r="H36" s="370" t="s">
        <v>328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52"/>
      <c r="CZ36" s="352"/>
      <c r="DA36" s="352"/>
      <c r="DB36" s="352"/>
      <c r="DC36" s="352"/>
      <c r="DD36" s="353"/>
      <c r="DP36" s="190"/>
    </row>
    <row r="37" spans="1:120" s="191" customFormat="1" ht="12.75">
      <c r="A37" s="361" t="s">
        <v>199</v>
      </c>
      <c r="B37" s="362"/>
      <c r="C37" s="362"/>
      <c r="D37" s="362"/>
      <c r="E37" s="362"/>
      <c r="F37" s="362"/>
      <c r="G37" s="362"/>
      <c r="H37" s="370" t="s">
        <v>330</v>
      </c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2"/>
      <c r="DD37" s="353"/>
      <c r="DP37" s="190"/>
    </row>
    <row r="38" spans="1:120" s="191" customFormat="1" ht="12.75">
      <c r="A38" s="361" t="s">
        <v>201</v>
      </c>
      <c r="B38" s="362"/>
      <c r="C38" s="362"/>
      <c r="D38" s="362"/>
      <c r="E38" s="362"/>
      <c r="F38" s="362"/>
      <c r="G38" s="362"/>
      <c r="H38" s="370" t="s">
        <v>332</v>
      </c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  <c r="CT38" s="352"/>
      <c r="CU38" s="352"/>
      <c r="CV38" s="352"/>
      <c r="CW38" s="352"/>
      <c r="CX38" s="352"/>
      <c r="CY38" s="352"/>
      <c r="CZ38" s="352"/>
      <c r="DA38" s="352"/>
      <c r="DB38" s="352"/>
      <c r="DC38" s="352"/>
      <c r="DD38" s="353"/>
      <c r="DP38" s="190"/>
    </row>
    <row r="39" spans="1:120" s="191" customFormat="1" ht="13.5" thickBot="1">
      <c r="A39" s="363" t="s">
        <v>203</v>
      </c>
      <c r="B39" s="364"/>
      <c r="C39" s="364"/>
      <c r="D39" s="364"/>
      <c r="E39" s="364"/>
      <c r="F39" s="364"/>
      <c r="G39" s="364"/>
      <c r="H39" s="376" t="s">
        <v>334</v>
      </c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354"/>
      <c r="CY39" s="354"/>
      <c r="CZ39" s="354"/>
      <c r="DA39" s="354"/>
      <c r="DB39" s="354"/>
      <c r="DC39" s="354"/>
      <c r="DD39" s="355"/>
      <c r="DP39" s="190"/>
    </row>
    <row r="40" spans="1:108" s="190" customFormat="1" ht="18.75" customHeight="1">
      <c r="A40" s="366"/>
      <c r="B40" s="367"/>
      <c r="C40" s="367"/>
      <c r="D40" s="367"/>
      <c r="E40" s="367"/>
      <c r="F40" s="367"/>
      <c r="G40" s="367"/>
      <c r="H40" s="374" t="s">
        <v>335</v>
      </c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5">
        <f>AT16+AT32</f>
        <v>16.88811075</v>
      </c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>
        <f>BF16+BF32</f>
        <v>17.49399127576271</v>
      </c>
      <c r="BG40" s="375"/>
      <c r="BH40" s="375"/>
      <c r="BI40" s="375"/>
      <c r="BJ40" s="375"/>
      <c r="BK40" s="375"/>
      <c r="BL40" s="375"/>
      <c r="BM40" s="375"/>
      <c r="BN40" s="375"/>
      <c r="BO40" s="375"/>
      <c r="BP40" s="375"/>
      <c r="BQ40" s="375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8"/>
      <c r="CV40" s="358"/>
      <c r="CW40" s="358"/>
      <c r="CX40" s="358"/>
      <c r="CY40" s="358"/>
      <c r="CZ40" s="358"/>
      <c r="DA40" s="358"/>
      <c r="DB40" s="358"/>
      <c r="DC40" s="358"/>
      <c r="DD40" s="359"/>
    </row>
    <row r="41" spans="1:120" s="191" customFormat="1" ht="12.75">
      <c r="A41" s="361"/>
      <c r="B41" s="362"/>
      <c r="C41" s="362"/>
      <c r="D41" s="362"/>
      <c r="E41" s="362"/>
      <c r="F41" s="362"/>
      <c r="G41" s="362"/>
      <c r="H41" s="370" t="s">
        <v>336</v>
      </c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3"/>
      <c r="DK41" s="190"/>
      <c r="DP41" s="190"/>
    </row>
    <row r="42" spans="1:120" s="191" customFormat="1" ht="12.75">
      <c r="A42" s="361"/>
      <c r="B42" s="362"/>
      <c r="C42" s="362"/>
      <c r="D42" s="362"/>
      <c r="E42" s="362"/>
      <c r="F42" s="362"/>
      <c r="G42" s="362"/>
      <c r="H42" s="373" t="s">
        <v>337</v>
      </c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2"/>
      <c r="CJ42" s="352"/>
      <c r="CK42" s="352"/>
      <c r="CL42" s="352"/>
      <c r="CM42" s="352"/>
      <c r="CN42" s="352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2"/>
      <c r="DD42" s="353"/>
      <c r="DP42" s="190"/>
    </row>
    <row r="43" spans="1:108" s="190" customFormat="1" ht="13.5" thickBot="1">
      <c r="A43" s="363"/>
      <c r="B43" s="364"/>
      <c r="C43" s="364"/>
      <c r="D43" s="364"/>
      <c r="E43" s="364"/>
      <c r="F43" s="364"/>
      <c r="G43" s="364"/>
      <c r="H43" s="368" t="s">
        <v>338</v>
      </c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4"/>
      <c r="DB43" s="354"/>
      <c r="DC43" s="354"/>
      <c r="DD43" s="355"/>
    </row>
    <row r="45" spans="4:5" ht="11.25">
      <c r="D45" s="180" t="s">
        <v>339</v>
      </c>
      <c r="E45" s="179" t="s">
        <v>340</v>
      </c>
    </row>
    <row r="46" spans="4:5" ht="11.25">
      <c r="D46" s="180" t="s">
        <v>341</v>
      </c>
      <c r="E46" s="179" t="s">
        <v>342</v>
      </c>
    </row>
  </sheetData>
  <sheetProtection/>
  <mergeCells count="156">
    <mergeCell ref="A14:G15"/>
    <mergeCell ref="H14:AS15"/>
    <mergeCell ref="AT15:BE15"/>
    <mergeCell ref="BF15:BQ15"/>
    <mergeCell ref="CT11:CV11"/>
    <mergeCell ref="CW11:CY11"/>
    <mergeCell ref="CH11:CR11"/>
    <mergeCell ref="BR14:DD15"/>
    <mergeCell ref="AT14:BQ14"/>
    <mergeCell ref="H16:AS16"/>
    <mergeCell ref="A16:G16"/>
    <mergeCell ref="BF16:BQ16"/>
    <mergeCell ref="BF17:BQ17"/>
    <mergeCell ref="AT16:BE16"/>
    <mergeCell ref="AT17:BE17"/>
    <mergeCell ref="H17:AS17"/>
    <mergeCell ref="H18:AS18"/>
    <mergeCell ref="BF18:BQ18"/>
    <mergeCell ref="AT18:BE18"/>
    <mergeCell ref="A19:G19"/>
    <mergeCell ref="H19:AS19"/>
    <mergeCell ref="A17:G17"/>
    <mergeCell ref="A18:G18"/>
    <mergeCell ref="A20:G20"/>
    <mergeCell ref="H20:AS20"/>
    <mergeCell ref="AT20:BE20"/>
    <mergeCell ref="BF20:BQ20"/>
    <mergeCell ref="AT19:BE19"/>
    <mergeCell ref="BF19:BQ19"/>
    <mergeCell ref="A22:G22"/>
    <mergeCell ref="AT22:BE22"/>
    <mergeCell ref="BF22:BQ22"/>
    <mergeCell ref="A21:G21"/>
    <mergeCell ref="H21:AS21"/>
    <mergeCell ref="AT21:BE21"/>
    <mergeCell ref="BF21:BQ21"/>
    <mergeCell ref="A24:G24"/>
    <mergeCell ref="H24:AS24"/>
    <mergeCell ref="AT24:BE24"/>
    <mergeCell ref="BF24:BQ24"/>
    <mergeCell ref="A23:G23"/>
    <mergeCell ref="H23:AS23"/>
    <mergeCell ref="AT23:BE23"/>
    <mergeCell ref="BF23:BQ23"/>
    <mergeCell ref="A26:G26"/>
    <mergeCell ref="H26:AS26"/>
    <mergeCell ref="AT26:BE26"/>
    <mergeCell ref="BF26:BQ26"/>
    <mergeCell ref="A25:G25"/>
    <mergeCell ref="H25:AS25"/>
    <mergeCell ref="AT25:BE25"/>
    <mergeCell ref="BF25:BQ25"/>
    <mergeCell ref="A28:G28"/>
    <mergeCell ref="H28:AS28"/>
    <mergeCell ref="AT28:BE28"/>
    <mergeCell ref="BF28:BQ28"/>
    <mergeCell ref="A27:G27"/>
    <mergeCell ref="H27:AS27"/>
    <mergeCell ref="AT27:BE27"/>
    <mergeCell ref="BF27:BQ27"/>
    <mergeCell ref="A30:G30"/>
    <mergeCell ref="H30:AS30"/>
    <mergeCell ref="AT30:BE30"/>
    <mergeCell ref="BF30:BQ30"/>
    <mergeCell ref="A29:G29"/>
    <mergeCell ref="H29:AS29"/>
    <mergeCell ref="AT29:BE29"/>
    <mergeCell ref="BF29:BQ29"/>
    <mergeCell ref="A32:G32"/>
    <mergeCell ref="H32:AS32"/>
    <mergeCell ref="AT32:BE32"/>
    <mergeCell ref="BF32:BQ32"/>
    <mergeCell ref="A31:G31"/>
    <mergeCell ref="H31:AS31"/>
    <mergeCell ref="AT31:BE31"/>
    <mergeCell ref="BF31:BQ31"/>
    <mergeCell ref="A34:G34"/>
    <mergeCell ref="H34:AS34"/>
    <mergeCell ref="AT34:BE34"/>
    <mergeCell ref="BF34:BQ34"/>
    <mergeCell ref="A33:G33"/>
    <mergeCell ref="H33:AS33"/>
    <mergeCell ref="AT33:BE33"/>
    <mergeCell ref="BF33:BQ33"/>
    <mergeCell ref="H36:AS36"/>
    <mergeCell ref="AT36:BE36"/>
    <mergeCell ref="BF36:BQ36"/>
    <mergeCell ref="H35:AS35"/>
    <mergeCell ref="AT35:BE35"/>
    <mergeCell ref="BF35:BQ35"/>
    <mergeCell ref="H38:AS38"/>
    <mergeCell ref="AT38:BE38"/>
    <mergeCell ref="BF38:BQ38"/>
    <mergeCell ref="H37:AS37"/>
    <mergeCell ref="AT37:BE37"/>
    <mergeCell ref="BF37:BQ37"/>
    <mergeCell ref="BF42:BQ42"/>
    <mergeCell ref="H40:AS40"/>
    <mergeCell ref="AT40:BE40"/>
    <mergeCell ref="BF40:BQ40"/>
    <mergeCell ref="H39:AS39"/>
    <mergeCell ref="AT39:BE39"/>
    <mergeCell ref="BF39:BQ39"/>
    <mergeCell ref="A5:DD5"/>
    <mergeCell ref="CA9:DD9"/>
    <mergeCell ref="CA10:DD10"/>
    <mergeCell ref="BZ11:CA11"/>
    <mergeCell ref="CB11:CD11"/>
    <mergeCell ref="CE11:CF11"/>
    <mergeCell ref="CE8:DD8"/>
    <mergeCell ref="A43:G43"/>
    <mergeCell ref="H43:AS43"/>
    <mergeCell ref="AT43:BE43"/>
    <mergeCell ref="BF43:BQ43"/>
    <mergeCell ref="A41:G41"/>
    <mergeCell ref="H41:AS41"/>
    <mergeCell ref="AT41:BE41"/>
    <mergeCell ref="A42:G42"/>
    <mergeCell ref="H42:AS42"/>
    <mergeCell ref="AT42:BE42"/>
    <mergeCell ref="BR42:DD42"/>
    <mergeCell ref="BR43:DD43"/>
    <mergeCell ref="H22:AS22"/>
    <mergeCell ref="A35:G35"/>
    <mergeCell ref="A36:G36"/>
    <mergeCell ref="A37:G37"/>
    <mergeCell ref="A38:G38"/>
    <mergeCell ref="A39:G39"/>
    <mergeCell ref="BF41:BQ41"/>
    <mergeCell ref="A40:G40"/>
    <mergeCell ref="BR39:DD39"/>
    <mergeCell ref="BR40:DD40"/>
    <mergeCell ref="BR41:DD41"/>
    <mergeCell ref="BR34:DD34"/>
    <mergeCell ref="BR35:DD35"/>
    <mergeCell ref="BR36:DD36"/>
    <mergeCell ref="BR37:DD37"/>
    <mergeCell ref="BR38:DD38"/>
    <mergeCell ref="BR28:DD28"/>
    <mergeCell ref="BR29:DD29"/>
    <mergeCell ref="BR30:DD30"/>
    <mergeCell ref="BR31:DD31"/>
    <mergeCell ref="BR32:DD32"/>
    <mergeCell ref="BR33:DD33"/>
    <mergeCell ref="BR22:DD22"/>
    <mergeCell ref="BR23:DD23"/>
    <mergeCell ref="BR24:DD24"/>
    <mergeCell ref="BR25:DD25"/>
    <mergeCell ref="BR26:DD26"/>
    <mergeCell ref="BR27:DD27"/>
    <mergeCell ref="BR16:DD16"/>
    <mergeCell ref="BR17:DD17"/>
    <mergeCell ref="BR18:DD18"/>
    <mergeCell ref="BR19:DD19"/>
    <mergeCell ref="BR20:DD20"/>
    <mergeCell ref="BR21:DD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Z36"/>
  <sheetViews>
    <sheetView view="pageBreakPreview" zoomScaleSheetLayoutView="100" zoomScalePageLayoutView="0" workbookViewId="0" topLeftCell="AB1">
      <selection activeCell="FI5" sqref="FI5"/>
    </sheetView>
  </sheetViews>
  <sheetFormatPr defaultColWidth="0.875" defaultRowHeight="12.75"/>
  <cols>
    <col min="1" max="164" width="0.875" style="179" customWidth="1"/>
    <col min="165" max="165" width="10.00390625" style="179" customWidth="1"/>
    <col min="166" max="16384" width="0.875" style="179" customWidth="1"/>
  </cols>
  <sheetData>
    <row r="1" ht="11.25">
      <c r="EY1" s="180" t="s">
        <v>462</v>
      </c>
    </row>
    <row r="2" ht="11.25">
      <c r="EY2" s="180" t="s">
        <v>1</v>
      </c>
    </row>
    <row r="3" spans="106:155" ht="11.25"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Y3" s="180" t="s">
        <v>2</v>
      </c>
    </row>
    <row r="4" spans="106:150" s="182" customFormat="1" ht="15.75"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4"/>
    </row>
    <row r="5" spans="1:165" s="187" customFormat="1" ht="30.75" customHeight="1">
      <c r="A5" s="371" t="s">
        <v>463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FI5" s="193"/>
    </row>
    <row r="6" spans="1:150" s="187" customFormat="1" ht="15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</row>
    <row r="7" spans="1:155" s="187" customFormat="1" ht="15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9" t="s">
        <v>445</v>
      </c>
    </row>
    <row r="8" spans="1:155" s="190" customFormat="1" ht="12.7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DU8" s="191"/>
      <c r="DV8" s="191"/>
      <c r="DW8" s="191"/>
      <c r="DX8" s="191"/>
      <c r="DY8" s="191"/>
      <c r="DZ8" s="191"/>
      <c r="EA8" s="344" t="s">
        <v>464</v>
      </c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</row>
    <row r="9" spans="1:155" s="190" customFormat="1" ht="12.7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DU9" s="191"/>
      <c r="DV9" s="191"/>
      <c r="DW9" s="191"/>
      <c r="DX9" s="344" t="s">
        <v>465</v>
      </c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8"/>
      <c r="ER9" s="348"/>
      <c r="ES9" s="348"/>
      <c r="ET9" s="348"/>
      <c r="EU9" s="348"/>
      <c r="EV9" s="348"/>
      <c r="EW9" s="348"/>
      <c r="EX9" s="348"/>
      <c r="EY9" s="348"/>
    </row>
    <row r="10" spans="1:155" s="190" customFormat="1" ht="12.7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DU10" s="191"/>
      <c r="DV10" s="191"/>
      <c r="DW10" s="191"/>
      <c r="DX10" s="191"/>
      <c r="DY10" s="191"/>
      <c r="DZ10" s="191"/>
      <c r="EA10" s="189"/>
      <c r="EB10" s="443" t="s">
        <v>466</v>
      </c>
      <c r="EC10" s="443"/>
      <c r="ED10" s="443"/>
      <c r="EE10" s="443"/>
      <c r="EF10" s="443"/>
      <c r="EG10" s="443"/>
      <c r="EH10" s="443"/>
      <c r="EI10" s="443"/>
      <c r="EJ10" s="443"/>
      <c r="EK10" s="443"/>
      <c r="EL10" s="443"/>
      <c r="EM10" s="443"/>
      <c r="EN10" s="443"/>
      <c r="EO10" s="443"/>
      <c r="EP10" s="443"/>
      <c r="EQ10" s="443"/>
      <c r="ER10" s="443"/>
      <c r="ES10" s="443"/>
      <c r="ET10" s="443"/>
      <c r="EU10" s="443"/>
      <c r="EV10" s="443"/>
      <c r="EW10" s="443"/>
      <c r="EX10" s="443"/>
      <c r="EY10" s="443"/>
    </row>
    <row r="11" spans="126:155" s="191" customFormat="1" ht="12.75">
      <c r="DV11" s="423"/>
      <c r="DW11" s="423"/>
      <c r="DX11" s="423"/>
      <c r="DY11" s="423"/>
      <c r="DZ11" s="423"/>
      <c r="EA11" s="423"/>
      <c r="EB11" s="423"/>
      <c r="EC11" s="423"/>
      <c r="ED11" s="423"/>
      <c r="EE11" s="423"/>
      <c r="EF11" s="423"/>
      <c r="EG11" s="423"/>
      <c r="EH11" s="423"/>
      <c r="EI11" s="423"/>
      <c r="EJ11" s="423"/>
      <c r="EK11" s="423"/>
      <c r="EL11" s="423"/>
      <c r="EM11" s="423"/>
      <c r="EN11" s="423"/>
      <c r="EO11" s="423"/>
      <c r="EP11" s="423"/>
      <c r="EQ11" s="423"/>
      <c r="ER11" s="423"/>
      <c r="ES11" s="423"/>
      <c r="ET11" s="423"/>
      <c r="EU11" s="423"/>
      <c r="EV11" s="423"/>
      <c r="EW11" s="423"/>
      <c r="EX11" s="423"/>
      <c r="EY11" s="423"/>
    </row>
    <row r="12" spans="125:155" s="191" customFormat="1" ht="12.75">
      <c r="DU12" s="179"/>
      <c r="DV12" s="343" t="s">
        <v>4</v>
      </c>
      <c r="DW12" s="343"/>
      <c r="DX12" s="343"/>
      <c r="DY12" s="343"/>
      <c r="DZ12" s="343"/>
      <c r="EA12" s="343"/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</row>
    <row r="13" spans="125:155" ht="12" customHeight="1">
      <c r="DU13" s="344" t="s">
        <v>281</v>
      </c>
      <c r="DV13" s="344"/>
      <c r="DW13" s="417" t="s">
        <v>447</v>
      </c>
      <c r="DX13" s="417"/>
      <c r="DY13" s="417"/>
      <c r="DZ13" s="346" t="s">
        <v>281</v>
      </c>
      <c r="EA13" s="346"/>
      <c r="EB13" s="191"/>
      <c r="EC13" s="417" t="s">
        <v>448</v>
      </c>
      <c r="ED13" s="417"/>
      <c r="EE13" s="417"/>
      <c r="EF13" s="417"/>
      <c r="EG13" s="417"/>
      <c r="EH13" s="417"/>
      <c r="EI13" s="417"/>
      <c r="EJ13" s="417"/>
      <c r="EK13" s="417"/>
      <c r="EL13" s="417"/>
      <c r="EM13" s="417"/>
      <c r="EN13" s="191"/>
      <c r="EO13" s="344">
        <v>20</v>
      </c>
      <c r="EP13" s="344"/>
      <c r="EQ13" s="344"/>
      <c r="ER13" s="416" t="s">
        <v>284</v>
      </c>
      <c r="ES13" s="416"/>
      <c r="ET13" s="416"/>
      <c r="EU13" s="192" t="s">
        <v>449</v>
      </c>
      <c r="EV13" s="191"/>
      <c r="EW13" s="191"/>
      <c r="EX13" s="191"/>
      <c r="EY13" s="192"/>
    </row>
    <row r="14" s="191" customFormat="1" ht="12.75">
      <c r="EY14" s="189" t="s">
        <v>8</v>
      </c>
    </row>
    <row r="15" s="191" customFormat="1" ht="13.5" thickBot="1"/>
    <row r="16" spans="1:155" s="190" customFormat="1" ht="12.75">
      <c r="A16" s="424" t="s">
        <v>345</v>
      </c>
      <c r="B16" s="425"/>
      <c r="C16" s="425"/>
      <c r="D16" s="425"/>
      <c r="E16" s="425"/>
      <c r="F16" s="425"/>
      <c r="G16" s="425"/>
      <c r="H16" s="425"/>
      <c r="I16" s="419" t="s">
        <v>346</v>
      </c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 t="s">
        <v>347</v>
      </c>
      <c r="BA16" s="419"/>
      <c r="BB16" s="419"/>
      <c r="BC16" s="419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 t="s">
        <v>348</v>
      </c>
      <c r="DA16" s="419"/>
      <c r="DB16" s="419"/>
      <c r="DC16" s="419"/>
      <c r="DD16" s="419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19"/>
      <c r="EE16" s="419"/>
      <c r="EF16" s="419"/>
      <c r="EG16" s="419"/>
      <c r="EH16" s="419"/>
      <c r="EI16" s="419"/>
      <c r="EJ16" s="419"/>
      <c r="EK16" s="419"/>
      <c r="EL16" s="419"/>
      <c r="EM16" s="419"/>
      <c r="EN16" s="419"/>
      <c r="EO16" s="419"/>
      <c r="EP16" s="419"/>
      <c r="EQ16" s="419"/>
      <c r="ER16" s="419"/>
      <c r="ES16" s="419"/>
      <c r="ET16" s="419"/>
      <c r="EU16" s="419"/>
      <c r="EV16" s="419"/>
      <c r="EW16" s="419"/>
      <c r="EX16" s="419"/>
      <c r="EY16" s="420"/>
    </row>
    <row r="17" spans="1:155" s="190" customFormat="1" ht="12.75">
      <c r="A17" s="426"/>
      <c r="B17" s="421"/>
      <c r="C17" s="421"/>
      <c r="D17" s="421"/>
      <c r="E17" s="421"/>
      <c r="F17" s="421"/>
      <c r="G17" s="421"/>
      <c r="H17" s="421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1" t="s">
        <v>286</v>
      </c>
      <c r="BA17" s="421"/>
      <c r="BB17" s="421"/>
      <c r="BC17" s="421"/>
      <c r="BD17" s="421"/>
      <c r="BE17" s="421"/>
      <c r="BF17" s="421"/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 t="s">
        <v>262</v>
      </c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 t="s">
        <v>286</v>
      </c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421" t="s">
        <v>262</v>
      </c>
      <c r="EA17" s="421"/>
      <c r="EB17" s="421"/>
      <c r="EC17" s="421"/>
      <c r="ED17" s="421"/>
      <c r="EE17" s="421"/>
      <c r="EF17" s="421"/>
      <c r="EG17" s="421"/>
      <c r="EH17" s="421"/>
      <c r="EI17" s="421"/>
      <c r="EJ17" s="421"/>
      <c r="EK17" s="421"/>
      <c r="EL17" s="421"/>
      <c r="EM17" s="421"/>
      <c r="EN17" s="421"/>
      <c r="EO17" s="421"/>
      <c r="EP17" s="421"/>
      <c r="EQ17" s="421"/>
      <c r="ER17" s="421"/>
      <c r="ES17" s="421"/>
      <c r="ET17" s="421"/>
      <c r="EU17" s="421"/>
      <c r="EV17" s="421"/>
      <c r="EW17" s="421"/>
      <c r="EX17" s="421"/>
      <c r="EY17" s="422"/>
    </row>
    <row r="18" spans="1:155" s="190" customFormat="1" ht="13.5" thickBot="1">
      <c r="A18" s="427"/>
      <c r="B18" s="405"/>
      <c r="C18" s="405"/>
      <c r="D18" s="405"/>
      <c r="E18" s="405"/>
      <c r="F18" s="405"/>
      <c r="G18" s="405"/>
      <c r="H18" s="405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05" t="s">
        <v>467</v>
      </c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 t="s">
        <v>467</v>
      </c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 t="s">
        <v>467</v>
      </c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  <c r="DU18" s="405"/>
      <c r="DV18" s="405"/>
      <c r="DW18" s="405"/>
      <c r="DX18" s="405"/>
      <c r="DY18" s="405"/>
      <c r="DZ18" s="405" t="s">
        <v>467</v>
      </c>
      <c r="EA18" s="405"/>
      <c r="EB18" s="405"/>
      <c r="EC18" s="405"/>
      <c r="ED18" s="405"/>
      <c r="EE18" s="405"/>
      <c r="EF18" s="405"/>
      <c r="EG18" s="405"/>
      <c r="EH18" s="405"/>
      <c r="EI18" s="405"/>
      <c r="EJ18" s="405"/>
      <c r="EK18" s="405"/>
      <c r="EL18" s="405"/>
      <c r="EM18" s="405"/>
      <c r="EN18" s="405"/>
      <c r="EO18" s="405"/>
      <c r="EP18" s="405"/>
      <c r="EQ18" s="405"/>
      <c r="ER18" s="405"/>
      <c r="ES18" s="405"/>
      <c r="ET18" s="405"/>
      <c r="EU18" s="405"/>
      <c r="EV18" s="405"/>
      <c r="EW18" s="405"/>
      <c r="EX18" s="405"/>
      <c r="EY18" s="418"/>
    </row>
    <row r="19" spans="1:155" s="190" customFormat="1" ht="12.75">
      <c r="A19" s="434" t="s">
        <v>288</v>
      </c>
      <c r="B19" s="435"/>
      <c r="C19" s="435"/>
      <c r="D19" s="435"/>
      <c r="E19" s="435"/>
      <c r="F19" s="435"/>
      <c r="G19" s="435"/>
      <c r="H19" s="435"/>
      <c r="I19" s="432">
        <v>2</v>
      </c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>
        <v>3</v>
      </c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>
        <v>4</v>
      </c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>
        <v>5</v>
      </c>
      <c r="DA19" s="432"/>
      <c r="DB19" s="432"/>
      <c r="DC19" s="432"/>
      <c r="DD19" s="432"/>
      <c r="DE19" s="432"/>
      <c r="DF19" s="432"/>
      <c r="DG19" s="432"/>
      <c r="DH19" s="432"/>
      <c r="DI19" s="432"/>
      <c r="DJ19" s="432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2"/>
      <c r="DV19" s="432"/>
      <c r="DW19" s="432"/>
      <c r="DX19" s="432"/>
      <c r="DY19" s="432"/>
      <c r="DZ19" s="432">
        <v>6</v>
      </c>
      <c r="EA19" s="432"/>
      <c r="EB19" s="432"/>
      <c r="EC19" s="432"/>
      <c r="ED19" s="432"/>
      <c r="EE19" s="432"/>
      <c r="EF19" s="432"/>
      <c r="EG19" s="432"/>
      <c r="EH19" s="432"/>
      <c r="EI19" s="432"/>
      <c r="EJ19" s="432"/>
      <c r="EK19" s="432"/>
      <c r="EL19" s="432"/>
      <c r="EM19" s="432"/>
      <c r="EN19" s="432"/>
      <c r="EO19" s="432"/>
      <c r="EP19" s="432"/>
      <c r="EQ19" s="432"/>
      <c r="ER19" s="432"/>
      <c r="ES19" s="432"/>
      <c r="ET19" s="432"/>
      <c r="EU19" s="432"/>
      <c r="EV19" s="432"/>
      <c r="EW19" s="432"/>
      <c r="EX19" s="432"/>
      <c r="EY19" s="433"/>
    </row>
    <row r="20" spans="1:155" s="190" customFormat="1" ht="40.5" customHeight="1">
      <c r="A20" s="430"/>
      <c r="B20" s="439"/>
      <c r="C20" s="439"/>
      <c r="D20" s="439"/>
      <c r="E20" s="439"/>
      <c r="F20" s="439"/>
      <c r="G20" s="439"/>
      <c r="H20" s="439"/>
      <c r="I20" s="440" t="s">
        <v>198</v>
      </c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1">
        <v>0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 t="s">
        <v>353</v>
      </c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>
        <v>0</v>
      </c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>
        <v>0</v>
      </c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EW20" s="441"/>
      <c r="EX20" s="441"/>
      <c r="EY20" s="442"/>
    </row>
    <row r="21" spans="1:155" s="190" customFormat="1" ht="36.75" customHeight="1">
      <c r="A21" s="430"/>
      <c r="B21" s="431"/>
      <c r="C21" s="431"/>
      <c r="D21" s="431"/>
      <c r="E21" s="431"/>
      <c r="F21" s="431"/>
      <c r="G21" s="431"/>
      <c r="H21" s="431"/>
      <c r="I21" s="440" t="s">
        <v>196</v>
      </c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1">
        <v>0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>
        <v>0.5525</v>
      </c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>
        <v>0</v>
      </c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1"/>
      <c r="DQ21" s="441"/>
      <c r="DR21" s="441"/>
      <c r="DS21" s="441"/>
      <c r="DT21" s="441"/>
      <c r="DU21" s="441"/>
      <c r="DV21" s="441"/>
      <c r="DW21" s="441"/>
      <c r="DX21" s="441"/>
      <c r="DY21" s="441"/>
      <c r="DZ21" s="441">
        <v>0</v>
      </c>
      <c r="EA21" s="441"/>
      <c r="EB21" s="441"/>
      <c r="EC21" s="441"/>
      <c r="ED21" s="441"/>
      <c r="EE21" s="441"/>
      <c r="EF21" s="441"/>
      <c r="EG21" s="441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1"/>
      <c r="EW21" s="441"/>
      <c r="EX21" s="441"/>
      <c r="EY21" s="442"/>
    </row>
    <row r="22" spans="1:155" s="190" customFormat="1" ht="61.5" customHeight="1">
      <c r="A22" s="430"/>
      <c r="B22" s="431"/>
      <c r="C22" s="431"/>
      <c r="D22" s="431"/>
      <c r="E22" s="431"/>
      <c r="F22" s="431"/>
      <c r="G22" s="431"/>
      <c r="H22" s="431"/>
      <c r="I22" s="440" t="s">
        <v>204</v>
      </c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1">
        <v>0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 t="s">
        <v>354</v>
      </c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1">
        <v>0</v>
      </c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  <c r="DZ22" s="441">
        <v>0</v>
      </c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1"/>
      <c r="EW22" s="441"/>
      <c r="EX22" s="441"/>
      <c r="EY22" s="442"/>
    </row>
    <row r="23" spans="1:155" s="194" customFormat="1" ht="38.25" customHeight="1" thickBot="1">
      <c r="A23" s="436"/>
      <c r="B23" s="437"/>
      <c r="C23" s="437"/>
      <c r="D23" s="437"/>
      <c r="E23" s="437"/>
      <c r="F23" s="437"/>
      <c r="G23" s="437"/>
      <c r="H23" s="437"/>
      <c r="I23" s="438" t="s">
        <v>206</v>
      </c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14">
        <v>0</v>
      </c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>
        <v>0.154</v>
      </c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>
        <v>0</v>
      </c>
      <c r="DA23" s="414"/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>
        <v>0</v>
      </c>
      <c r="EA23" s="414"/>
      <c r="EB23" s="414"/>
      <c r="EC23" s="414"/>
      <c r="ED23" s="414"/>
      <c r="EE23" s="414"/>
      <c r="EF23" s="414"/>
      <c r="EG23" s="414"/>
      <c r="EH23" s="414"/>
      <c r="EI23" s="414"/>
      <c r="EJ23" s="414"/>
      <c r="EK23" s="414"/>
      <c r="EL23" s="414"/>
      <c r="EM23" s="414"/>
      <c r="EN23" s="414"/>
      <c r="EO23" s="414"/>
      <c r="EP23" s="414"/>
      <c r="EQ23" s="414"/>
      <c r="ER23" s="414"/>
      <c r="ES23" s="414"/>
      <c r="ET23" s="414"/>
      <c r="EU23" s="414"/>
      <c r="EV23" s="414"/>
      <c r="EW23" s="414"/>
      <c r="EX23" s="414"/>
      <c r="EY23" s="415"/>
    </row>
    <row r="25" spans="6:9" ht="11.25">
      <c r="F25" s="180"/>
      <c r="I25" s="179" t="s">
        <v>468</v>
      </c>
    </row>
    <row r="28" spans="2:140" ht="18.75">
      <c r="B28" s="444" t="s">
        <v>215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DN28" s="444" t="s">
        <v>216</v>
      </c>
      <c r="DO28" s="444"/>
      <c r="DP28" s="444"/>
      <c r="DQ28" s="444"/>
      <c r="DR28" s="444"/>
      <c r="DS28" s="444"/>
      <c r="DT28" s="444"/>
      <c r="DU28" s="444"/>
      <c r="DV28" s="444"/>
      <c r="DW28" s="444"/>
      <c r="DX28" s="444"/>
      <c r="DY28" s="444"/>
      <c r="DZ28" s="444"/>
      <c r="EA28" s="444"/>
      <c r="EB28" s="444"/>
      <c r="EC28" s="444"/>
      <c r="ED28" s="444"/>
      <c r="EE28" s="444"/>
      <c r="EF28" s="444"/>
      <c r="EG28" s="444"/>
      <c r="EH28" s="444"/>
      <c r="EI28" s="444"/>
      <c r="EJ28" s="444"/>
    </row>
    <row r="34" spans="80:234" ht="11.25"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</row>
    <row r="35" spans="80:234" ht="11.25"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</row>
    <row r="36" spans="80:234" ht="12.75">
      <c r="CB36" s="446"/>
      <c r="CC36" s="446"/>
      <c r="CD36" s="446"/>
      <c r="CE36" s="446"/>
      <c r="CF36" s="446"/>
      <c r="CG36" s="446"/>
      <c r="CH36" s="446"/>
      <c r="CI36" s="446"/>
      <c r="CJ36" s="447"/>
      <c r="CK36" s="447"/>
      <c r="CL36" s="447"/>
      <c r="CM36" s="447"/>
      <c r="CN36" s="447"/>
      <c r="CO36" s="447"/>
      <c r="CP36" s="447"/>
      <c r="CQ36" s="447"/>
      <c r="CR36" s="447"/>
      <c r="CS36" s="447"/>
      <c r="CT36" s="447"/>
      <c r="CU36" s="447"/>
      <c r="CV36" s="447"/>
      <c r="CW36" s="447"/>
      <c r="CX36" s="447"/>
      <c r="CY36" s="447"/>
      <c r="CZ36" s="447"/>
      <c r="DA36" s="447"/>
      <c r="DB36" s="447"/>
      <c r="DC36" s="447"/>
      <c r="DD36" s="447"/>
      <c r="DE36" s="447"/>
      <c r="DF36" s="447"/>
      <c r="DG36" s="447"/>
      <c r="DH36" s="447"/>
      <c r="DI36" s="447"/>
      <c r="DJ36" s="447"/>
      <c r="DK36" s="447"/>
      <c r="DL36" s="447"/>
      <c r="DM36" s="447"/>
      <c r="DN36" s="447"/>
      <c r="DO36" s="447"/>
      <c r="DP36" s="447"/>
      <c r="DQ36" s="447"/>
      <c r="DR36" s="447"/>
      <c r="DS36" s="447"/>
      <c r="DT36" s="447"/>
      <c r="DU36" s="447"/>
      <c r="DV36" s="447"/>
      <c r="DW36" s="447"/>
      <c r="DX36" s="447"/>
      <c r="DY36" s="447"/>
      <c r="DZ36" s="447"/>
      <c r="EA36" s="445"/>
      <c r="EB36" s="445"/>
      <c r="EC36" s="445"/>
      <c r="ED36" s="445"/>
      <c r="EE36" s="445"/>
      <c r="EF36" s="445"/>
      <c r="EG36" s="445"/>
      <c r="EH36" s="445"/>
      <c r="EI36" s="445"/>
      <c r="EJ36" s="445"/>
      <c r="EK36" s="445"/>
      <c r="EL36" s="445"/>
      <c r="EM36" s="445"/>
      <c r="EN36" s="445"/>
      <c r="EO36" s="445"/>
      <c r="EP36" s="445"/>
      <c r="EQ36" s="445"/>
      <c r="ER36" s="445"/>
      <c r="ES36" s="445"/>
      <c r="ET36" s="445"/>
      <c r="EU36" s="445"/>
      <c r="EV36" s="445"/>
      <c r="EW36" s="445"/>
      <c r="EX36" s="445"/>
      <c r="EY36" s="445"/>
      <c r="EZ36" s="445"/>
      <c r="FA36" s="445"/>
      <c r="FB36" s="445"/>
      <c r="FC36" s="445"/>
      <c r="FD36" s="445"/>
      <c r="FE36" s="445"/>
      <c r="FF36" s="445"/>
      <c r="FG36" s="445"/>
      <c r="FH36" s="445"/>
      <c r="FI36" s="445"/>
      <c r="FJ36" s="445"/>
      <c r="FK36" s="445"/>
      <c r="FL36" s="445"/>
      <c r="FM36" s="445"/>
      <c r="FN36" s="445"/>
      <c r="FO36" s="445"/>
      <c r="FP36" s="445"/>
      <c r="FQ36" s="445"/>
      <c r="FR36" s="445"/>
      <c r="FS36" s="445"/>
      <c r="FT36" s="445"/>
      <c r="FU36" s="445"/>
      <c r="FV36" s="445"/>
      <c r="FW36" s="445"/>
      <c r="FX36" s="445"/>
      <c r="FY36" s="445"/>
      <c r="FZ36" s="445"/>
      <c r="GA36" s="445"/>
      <c r="GB36" s="445"/>
      <c r="GC36" s="445"/>
      <c r="GD36" s="445"/>
      <c r="GE36" s="445"/>
      <c r="GF36" s="445"/>
      <c r="GG36" s="445"/>
      <c r="GH36" s="445"/>
      <c r="GI36" s="445"/>
      <c r="GJ36" s="445"/>
      <c r="GK36" s="445"/>
      <c r="GL36" s="445"/>
      <c r="GM36" s="445"/>
      <c r="GN36" s="445"/>
      <c r="GO36" s="445"/>
      <c r="GP36" s="445"/>
      <c r="GQ36" s="445"/>
      <c r="GR36" s="445"/>
      <c r="GS36" s="445"/>
      <c r="GT36" s="445"/>
      <c r="GU36" s="445"/>
      <c r="GV36" s="445"/>
      <c r="GW36" s="445"/>
      <c r="GX36" s="445"/>
      <c r="GY36" s="445"/>
      <c r="GZ36" s="445"/>
      <c r="HA36" s="445"/>
      <c r="HB36" s="445"/>
      <c r="HC36" s="445"/>
      <c r="HD36" s="445"/>
      <c r="HE36" s="445"/>
      <c r="HF36" s="445"/>
      <c r="HG36" s="445"/>
      <c r="HH36" s="445"/>
      <c r="HI36" s="445"/>
      <c r="HJ36" s="445"/>
      <c r="HK36" s="445"/>
      <c r="HL36" s="445"/>
      <c r="HM36" s="445"/>
      <c r="HN36" s="445"/>
      <c r="HO36" s="445"/>
      <c r="HP36" s="445"/>
      <c r="HQ36" s="445"/>
      <c r="HR36" s="445"/>
      <c r="HS36" s="445"/>
      <c r="HT36" s="445"/>
      <c r="HU36" s="445"/>
      <c r="HV36" s="445"/>
      <c r="HW36" s="445"/>
      <c r="HX36" s="445"/>
      <c r="HY36" s="445"/>
      <c r="HZ36" s="445"/>
    </row>
  </sheetData>
  <sheetProtection/>
  <mergeCells count="62">
    <mergeCell ref="B28:BE28"/>
    <mergeCell ref="DN28:EJ28"/>
    <mergeCell ref="GA36:GZ36"/>
    <mergeCell ref="HA36:HZ36"/>
    <mergeCell ref="CB36:CI36"/>
    <mergeCell ref="CJ36:DZ36"/>
    <mergeCell ref="EA36:EZ36"/>
    <mergeCell ref="FA36:FZ36"/>
    <mergeCell ref="BZ22:CY22"/>
    <mergeCell ref="DZ22:EY22"/>
    <mergeCell ref="EA8:EY8"/>
    <mergeCell ref="DX9:EY9"/>
    <mergeCell ref="EB10:EY10"/>
    <mergeCell ref="CZ21:DY21"/>
    <mergeCell ref="DZ21:EY21"/>
    <mergeCell ref="CZ22:DY22"/>
    <mergeCell ref="CZ20:DY20"/>
    <mergeCell ref="DZ20:EY20"/>
    <mergeCell ref="BZ18:CY18"/>
    <mergeCell ref="AZ17:BY17"/>
    <mergeCell ref="BZ17:CY17"/>
    <mergeCell ref="I21:AY21"/>
    <mergeCell ref="AZ21:BY21"/>
    <mergeCell ref="BZ21:CY21"/>
    <mergeCell ref="AZ20:BY20"/>
    <mergeCell ref="BZ20:CY20"/>
    <mergeCell ref="BZ23:CY23"/>
    <mergeCell ref="AZ19:BY19"/>
    <mergeCell ref="AZ23:BY23"/>
    <mergeCell ref="A23:H23"/>
    <mergeCell ref="I23:AY23"/>
    <mergeCell ref="A20:H20"/>
    <mergeCell ref="I20:AY20"/>
    <mergeCell ref="A22:H22"/>
    <mergeCell ref="I22:AY22"/>
    <mergeCell ref="AZ22:BY22"/>
    <mergeCell ref="A21:H21"/>
    <mergeCell ref="DZ19:EY19"/>
    <mergeCell ref="I19:AY19"/>
    <mergeCell ref="A19:H19"/>
    <mergeCell ref="BZ19:CY19"/>
    <mergeCell ref="CZ19:DY19"/>
    <mergeCell ref="A5:EY5"/>
    <mergeCell ref="CZ16:EY16"/>
    <mergeCell ref="CZ17:DY17"/>
    <mergeCell ref="DZ17:EY17"/>
    <mergeCell ref="DV11:EY11"/>
    <mergeCell ref="DV12:EY12"/>
    <mergeCell ref="AZ16:CY16"/>
    <mergeCell ref="A16:H18"/>
    <mergeCell ref="I16:AY18"/>
    <mergeCell ref="AZ18:BY18"/>
    <mergeCell ref="CZ23:DY23"/>
    <mergeCell ref="DZ23:EY23"/>
    <mergeCell ref="EO13:EQ13"/>
    <mergeCell ref="ER13:ET13"/>
    <mergeCell ref="EC13:EM13"/>
    <mergeCell ref="DU13:DV13"/>
    <mergeCell ref="DW13:DY13"/>
    <mergeCell ref="DZ13:EA13"/>
    <mergeCell ref="CZ18:DY18"/>
    <mergeCell ref="DZ18:EY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F53"/>
  <sheetViews>
    <sheetView view="pageBreakPreview" zoomScaleNormal="60" zoomScaleSheetLayoutView="100" zoomScalePageLayoutView="0" workbookViewId="0" topLeftCell="A1">
      <selection activeCell="BI5" sqref="BI5:BR5"/>
    </sheetView>
  </sheetViews>
  <sheetFormatPr defaultColWidth="0.875" defaultRowHeight="12.75"/>
  <cols>
    <col min="1" max="94" width="0.875" style="144" customWidth="1"/>
    <col min="95" max="95" width="1.75390625" style="144" customWidth="1"/>
    <col min="96" max="105" width="0.875" style="144" customWidth="1"/>
    <col min="106" max="106" width="12.125" style="144" customWidth="1"/>
    <col min="107" max="107" width="11.25390625" style="144" bestFit="1" customWidth="1"/>
    <col min="108" max="16384" width="0.875" style="144" customWidth="1"/>
  </cols>
  <sheetData>
    <row r="1" spans="81:105" ht="33.75" customHeight="1">
      <c r="CC1" s="325" t="s">
        <v>387</v>
      </c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</row>
    <row r="3" spans="1:105" s="118" customFormat="1" ht="31.5" customHeight="1">
      <c r="A3" s="279" t="s">
        <v>388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</row>
    <row r="5" spans="11:91" s="145" customFormat="1" ht="12.75" customHeight="1">
      <c r="K5" s="326" t="s">
        <v>469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448"/>
      <c r="BF5" s="448"/>
      <c r="BG5" s="448"/>
      <c r="BH5" s="448"/>
      <c r="BI5" s="328" t="s">
        <v>470</v>
      </c>
      <c r="BJ5" s="328"/>
      <c r="BK5" s="328"/>
      <c r="BL5" s="328"/>
      <c r="BM5" s="328"/>
      <c r="BN5" s="328"/>
      <c r="BO5" s="328"/>
      <c r="BP5" s="328"/>
      <c r="BQ5" s="328"/>
      <c r="BR5" s="328"/>
      <c r="BS5" s="327" t="s">
        <v>273</v>
      </c>
      <c r="BT5" s="327"/>
      <c r="BU5" s="327"/>
      <c r="BV5" s="327"/>
      <c r="BW5" s="327"/>
      <c r="BX5" s="327"/>
      <c r="BY5" s="327"/>
      <c r="BZ5" s="329" t="s">
        <v>471</v>
      </c>
      <c r="CA5" s="329"/>
      <c r="CB5" s="329"/>
      <c r="CC5" s="329"/>
      <c r="CD5" s="329"/>
      <c r="CE5" s="329"/>
      <c r="CF5" s="327" t="s">
        <v>393</v>
      </c>
      <c r="CG5" s="327"/>
      <c r="CH5" s="327"/>
      <c r="CI5" s="327"/>
      <c r="CJ5" s="327"/>
      <c r="CK5" s="327"/>
      <c r="CL5" s="327"/>
      <c r="CM5" s="145" t="s">
        <v>394</v>
      </c>
    </row>
    <row r="6" spans="37:64" ht="12.75" customHeight="1"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</row>
    <row r="7" spans="78:105" ht="78.75" customHeight="1">
      <c r="BZ7" s="281" t="s">
        <v>472</v>
      </c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</row>
    <row r="8" spans="78:105" ht="12.75"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449"/>
      <c r="CN8" s="449"/>
      <c r="CO8" s="449"/>
      <c r="CP8" s="449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</row>
    <row r="9" spans="77:105" ht="6" customHeight="1">
      <c r="BY9" s="146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</row>
    <row r="10" spans="78:105" ht="12.75" customHeight="1">
      <c r="BZ10" s="283" t="s">
        <v>4</v>
      </c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</row>
    <row r="11" spans="77:104" ht="12.75" customHeight="1">
      <c r="BY11" s="320" t="s">
        <v>281</v>
      </c>
      <c r="BZ11" s="320"/>
      <c r="CA11" s="323" t="s">
        <v>447</v>
      </c>
      <c r="CB11" s="323"/>
      <c r="CC11" s="323"/>
      <c r="CD11" s="324" t="s">
        <v>281</v>
      </c>
      <c r="CE11" s="324"/>
      <c r="CF11" s="323" t="s">
        <v>448</v>
      </c>
      <c r="CG11" s="323"/>
      <c r="CH11" s="323"/>
      <c r="CI11" s="323"/>
      <c r="CJ11" s="323"/>
      <c r="CK11" s="323"/>
      <c r="CL11" s="323"/>
      <c r="CM11" s="323"/>
      <c r="CN11" s="323"/>
      <c r="CO11" s="323"/>
      <c r="CP11" s="320">
        <v>20</v>
      </c>
      <c r="CQ11" s="320"/>
      <c r="CR11" s="320"/>
      <c r="CS11" s="321" t="s">
        <v>284</v>
      </c>
      <c r="CT11" s="321"/>
      <c r="CU11" s="321"/>
      <c r="CW11" s="148" t="s">
        <v>6</v>
      </c>
      <c r="CZ11" s="148"/>
    </row>
    <row r="12" ht="12.75">
      <c r="DA12" s="149" t="s">
        <v>8</v>
      </c>
    </row>
    <row r="14" spans="1:105" ht="12.75" customHeight="1">
      <c r="A14" s="322" t="s">
        <v>396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</row>
    <row r="15" spans="1:105" ht="39.75" customHeight="1">
      <c r="A15" s="317" t="s">
        <v>397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8" t="s">
        <v>398</v>
      </c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 t="s">
        <v>399</v>
      </c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</row>
    <row r="16" spans="1:105" ht="12.75" customHeight="1">
      <c r="A16" s="317">
        <v>1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>
        <v>2</v>
      </c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9">
        <v>3</v>
      </c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</row>
    <row r="17" spans="1:105" s="151" customFormat="1" ht="12.75" customHeight="1">
      <c r="A17" s="150"/>
      <c r="B17" s="301" t="s">
        <v>400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450">
        <f>'[1]Ф2 вспомогат'!R4</f>
        <v>121343</v>
      </c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1">
        <v>27664</v>
      </c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/>
      <c r="CX17" s="451"/>
      <c r="CY17" s="451"/>
      <c r="CZ17" s="451"/>
      <c r="DA17" s="451"/>
    </row>
    <row r="18" spans="1:105" s="151" customFormat="1" ht="12.75" customHeight="1">
      <c r="A18" s="150"/>
      <c r="B18" s="301" t="s">
        <v>401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450">
        <f>'[1]Ф2 вспомогат'!R19</f>
        <v>2401.37344</v>
      </c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1">
        <v>5697</v>
      </c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</row>
    <row r="19" spans="1:105" s="151" customFormat="1" ht="12.75" customHeight="1">
      <c r="A19" s="196"/>
      <c r="B19" s="314" t="s">
        <v>402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</row>
    <row r="20" spans="1:105" s="151" customFormat="1" ht="12.75" customHeight="1">
      <c r="A20" s="452" t="s">
        <v>403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4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</row>
    <row r="21" spans="1:106" s="151" customFormat="1" ht="12.75" customHeight="1">
      <c r="A21" s="452" t="s">
        <v>404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4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>
        <v>5697</v>
      </c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152"/>
    </row>
    <row r="22" spans="1:105" s="151" customFormat="1" ht="12.75" customHeight="1">
      <c r="A22" s="452" t="s">
        <v>405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6"/>
      <c r="BB22" s="306">
        <f>(3618)+(12369.716)+(988)</f>
        <v>16975.716</v>
      </c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>
        <f>7274+646.31303+39</f>
        <v>7959.31303</v>
      </c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</row>
    <row r="23" spans="1:106" s="151" customFormat="1" ht="12.75" customHeight="1">
      <c r="A23" s="452" t="s">
        <v>406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6"/>
      <c r="BB23" s="306">
        <f>BB24+BB25</f>
        <v>45455</v>
      </c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>
        <f>CB24+CB25</f>
        <v>15512</v>
      </c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159"/>
    </row>
    <row r="24" spans="1:106" s="151" customFormat="1" ht="12.75" customHeight="1">
      <c r="A24" s="452" t="s">
        <v>407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4"/>
      <c r="BB24" s="306">
        <v>45455</v>
      </c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>
        <v>15512</v>
      </c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158"/>
    </row>
    <row r="25" spans="1:110" s="151" customFormat="1" ht="12.75" customHeight="1">
      <c r="A25" s="452" t="s">
        <v>408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4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197"/>
      <c r="DC25" s="198"/>
      <c r="DD25" s="198"/>
      <c r="DE25" s="198"/>
      <c r="DF25" s="198"/>
    </row>
    <row r="26" spans="1:110" s="151" customFormat="1" ht="12.75" customHeight="1">
      <c r="A26" s="452" t="s">
        <v>409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6"/>
      <c r="BB26" s="306">
        <v>100320</v>
      </c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>
        <v>5707</v>
      </c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199"/>
      <c r="DC26" s="198"/>
      <c r="DD26" s="198"/>
      <c r="DE26" s="198"/>
      <c r="DF26" s="198"/>
    </row>
    <row r="27" spans="1:110" s="151" customFormat="1" ht="25.5" customHeight="1">
      <c r="A27" s="457" t="s">
        <v>410</v>
      </c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6"/>
      <c r="BB27" s="306">
        <f>BB28+BB29+BB30+BB31</f>
        <v>227</v>
      </c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>
        <v>10</v>
      </c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198"/>
      <c r="DC27" s="198"/>
      <c r="DD27" s="198"/>
      <c r="DE27" s="198"/>
      <c r="DF27" s="198"/>
    </row>
    <row r="28" spans="1:110" s="151" customFormat="1" ht="12.75" customHeight="1">
      <c r="A28" s="452" t="s">
        <v>411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9"/>
      <c r="BB28" s="306">
        <v>0</v>
      </c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>
        <v>0</v>
      </c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198"/>
      <c r="DC28" s="198"/>
      <c r="DD28" s="198"/>
      <c r="DE28" s="198"/>
      <c r="DF28" s="198"/>
    </row>
    <row r="29" spans="1:110" s="151" customFormat="1" ht="12.75" customHeight="1">
      <c r="A29" s="452" t="s">
        <v>412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9"/>
      <c r="BB29" s="306">
        <v>0</v>
      </c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>
        <v>0</v>
      </c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198"/>
      <c r="DC29" s="198"/>
      <c r="DD29" s="198"/>
      <c r="DE29" s="198"/>
      <c r="DF29" s="198"/>
    </row>
    <row r="30" spans="1:110" s="151" customFormat="1" ht="12.75" customHeight="1">
      <c r="A30" s="452" t="s">
        <v>413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9"/>
      <c r="BB30" s="306">
        <v>0</v>
      </c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>
        <v>0</v>
      </c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198"/>
      <c r="DC30" s="198"/>
      <c r="DD30" s="198"/>
      <c r="DE30" s="198"/>
      <c r="DF30" s="198"/>
    </row>
    <row r="31" spans="1:110" s="151" customFormat="1" ht="12.75" customHeight="1">
      <c r="A31" s="452" t="s">
        <v>414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9"/>
      <c r="BB31" s="306">
        <v>227</v>
      </c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>
        <v>0</v>
      </c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200"/>
      <c r="DC31" s="201"/>
      <c r="DD31" s="198"/>
      <c r="DE31" s="198"/>
      <c r="DF31" s="198">
        <v>96</v>
      </c>
    </row>
    <row r="32" spans="1:110" s="151" customFormat="1" ht="12.75" customHeight="1">
      <c r="A32" s="452" t="s">
        <v>415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6"/>
      <c r="BB32" s="306">
        <v>40412</v>
      </c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>
        <f>CB33+CB34</f>
        <v>36769</v>
      </c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200"/>
      <c r="DC32" s="198"/>
      <c r="DD32" s="198"/>
      <c r="DE32" s="198"/>
      <c r="DF32" s="198"/>
    </row>
    <row r="33" spans="1:106" s="151" customFormat="1" ht="12.75" customHeight="1">
      <c r="A33" s="452" t="s">
        <v>416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4"/>
      <c r="BB33" s="306">
        <v>829</v>
      </c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>
        <v>2008</v>
      </c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154"/>
    </row>
    <row r="34" spans="1:105" s="151" customFormat="1" ht="12.75" customHeight="1">
      <c r="A34" s="452" t="s">
        <v>417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4"/>
      <c r="BB34" s="306">
        <v>38086</v>
      </c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>
        <v>34761</v>
      </c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</row>
    <row r="35" spans="1:105" s="155" customFormat="1" ht="12.75" customHeight="1">
      <c r="A35" s="460" t="s">
        <v>418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2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</row>
    <row r="36" spans="1:105" s="155" customFormat="1" ht="12.75" customHeight="1">
      <c r="A36" s="460" t="s">
        <v>419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1"/>
      <c r="AZ36" s="461"/>
      <c r="BA36" s="462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</row>
    <row r="37" spans="1:105" s="155" customFormat="1" ht="12.75" customHeight="1">
      <c r="A37" s="460" t="s">
        <v>420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2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</row>
    <row r="38" spans="1:105" s="151" customFormat="1" ht="12.75" customHeight="1">
      <c r="A38" s="452" t="s">
        <v>421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6"/>
      <c r="BB38" s="306">
        <v>988</v>
      </c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>
        <v>39</v>
      </c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</row>
    <row r="39" spans="1:105" ht="13.5" customHeight="1">
      <c r="A39" s="311" t="s">
        <v>422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</row>
    <row r="40" spans="1:105" s="151" customFormat="1" ht="25.5" customHeight="1">
      <c r="A40" s="156"/>
      <c r="B40" s="463" t="s">
        <v>423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4">
        <f>'[1]6.2год.'!AT16*1000</f>
        <v>16888.11075</v>
      </c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5" t="s">
        <v>424</v>
      </c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</row>
    <row r="41" spans="1:105" s="151" customFormat="1" ht="12.75" customHeight="1">
      <c r="A41" s="150"/>
      <c r="B41" s="301" t="s">
        <v>425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451">
        <f>'[1]6.2год.'!BF16*1000</f>
        <v>17493.99127576271</v>
      </c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</row>
    <row r="42" spans="1:105" s="151" customFormat="1" ht="12.75" customHeight="1">
      <c r="A42" s="150"/>
      <c r="B42" s="301" t="s">
        <v>426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466">
        <v>1</v>
      </c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</row>
    <row r="43" spans="1:105" s="151" customFormat="1" ht="12.75" customHeight="1">
      <c r="A43" s="153"/>
      <c r="B43" s="301" t="s">
        <v>427</v>
      </c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</row>
    <row r="44" spans="1:105" ht="13.5" customHeight="1">
      <c r="A44" s="468" t="s">
        <v>428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468"/>
      <c r="AY44" s="468"/>
      <c r="AZ44" s="468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468"/>
      <c r="BM44" s="468"/>
      <c r="BN44" s="468"/>
      <c r="BO44" s="468"/>
      <c r="BP44" s="468"/>
      <c r="BQ44" s="468"/>
      <c r="BR44" s="468"/>
      <c r="BS44" s="468"/>
      <c r="BT44" s="468"/>
      <c r="BU44" s="468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68"/>
    </row>
    <row r="45" spans="1:105" s="151" customFormat="1" ht="12.75" customHeight="1">
      <c r="A45" s="153"/>
      <c r="B45" s="301" t="s">
        <v>429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2" t="s">
        <v>430</v>
      </c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B45" s="302"/>
      <c r="CC45" s="302"/>
      <c r="CD45" s="302"/>
      <c r="CE45" s="302"/>
      <c r="CF45" s="302"/>
      <c r="CG45" s="302"/>
      <c r="CH45" s="302"/>
      <c r="CI45" s="302"/>
      <c r="CJ45" s="302"/>
      <c r="CK45" s="302"/>
      <c r="CL45" s="302"/>
      <c r="CM45" s="302"/>
      <c r="CN45" s="302"/>
      <c r="CO45" s="302"/>
      <c r="CP45" s="302"/>
      <c r="CQ45" s="302"/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</row>
    <row r="46" spans="1:105" s="151" customFormat="1" ht="12.75" customHeight="1">
      <c r="A46" s="303"/>
      <c r="B46" s="303"/>
      <c r="C46" s="303"/>
      <c r="D46" s="301" t="s">
        <v>431</v>
      </c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</row>
    <row r="47" spans="1:105" s="151" customFormat="1" ht="12.75" customHeight="1">
      <c r="A47" s="304"/>
      <c r="B47" s="304"/>
      <c r="C47" s="304"/>
      <c r="D47" s="301" t="s">
        <v>432</v>
      </c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</row>
    <row r="48" spans="1:105" s="151" customFormat="1" ht="12.75" customHeight="1">
      <c r="A48" s="156"/>
      <c r="B48" s="301" t="s">
        <v>433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</row>
    <row r="49" spans="3:5" s="114" customFormat="1" ht="15" customHeight="1">
      <c r="C49" s="299" t="s">
        <v>339</v>
      </c>
      <c r="D49" s="299"/>
      <c r="E49" s="114" t="s">
        <v>434</v>
      </c>
    </row>
    <row r="53" spans="1:88" ht="20.25" customHeight="1">
      <c r="A53" s="238" t="s">
        <v>215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157"/>
      <c r="BF53" s="157"/>
      <c r="BG53" s="157"/>
      <c r="BH53" s="157"/>
      <c r="BI53" s="157"/>
      <c r="BJ53" s="157"/>
      <c r="BK53" s="157"/>
      <c r="BL53" s="157"/>
      <c r="BM53" s="157"/>
      <c r="BN53" s="238" t="s">
        <v>216</v>
      </c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</row>
  </sheetData>
  <sheetProtection selectLockedCells="1" selectUnlockedCells="1"/>
  <mergeCells count="115">
    <mergeCell ref="A46:C46"/>
    <mergeCell ref="D46:BA46"/>
    <mergeCell ref="A47:C47"/>
    <mergeCell ref="D47:BA47"/>
    <mergeCell ref="B42:BA42"/>
    <mergeCell ref="BB42:CA42"/>
    <mergeCell ref="B43:BA43"/>
    <mergeCell ref="BB43:CA43"/>
    <mergeCell ref="C49:D49"/>
    <mergeCell ref="A53:BD53"/>
    <mergeCell ref="BN53:CJ53"/>
    <mergeCell ref="A44:DA44"/>
    <mergeCell ref="B45:BA45"/>
    <mergeCell ref="BB45:DA48"/>
    <mergeCell ref="BB38:CA38"/>
    <mergeCell ref="CB38:DA38"/>
    <mergeCell ref="A39:DA39"/>
    <mergeCell ref="A38:BA38"/>
    <mergeCell ref="B48:BA48"/>
    <mergeCell ref="B40:BA40"/>
    <mergeCell ref="BB40:CA40"/>
    <mergeCell ref="CB40:DA43"/>
    <mergeCell ref="B41:BA41"/>
    <mergeCell ref="BB41:CA41"/>
    <mergeCell ref="BB36:CA36"/>
    <mergeCell ref="CB36:DA36"/>
    <mergeCell ref="A36:BA36"/>
    <mergeCell ref="BB37:CA37"/>
    <mergeCell ref="CB37:DA37"/>
    <mergeCell ref="A37:BA37"/>
    <mergeCell ref="BB34:CA34"/>
    <mergeCell ref="CB34:DA34"/>
    <mergeCell ref="A34:BA34"/>
    <mergeCell ref="BB35:CA35"/>
    <mergeCell ref="CB35:DA35"/>
    <mergeCell ref="A35:BA35"/>
    <mergeCell ref="BB31:CA31"/>
    <mergeCell ref="CB31:DA31"/>
    <mergeCell ref="A31:BA31"/>
    <mergeCell ref="BB32:CA32"/>
    <mergeCell ref="CB32:DA32"/>
    <mergeCell ref="BB33:CA33"/>
    <mergeCell ref="CB33:DA33"/>
    <mergeCell ref="A32:BA32"/>
    <mergeCell ref="A33:BA33"/>
    <mergeCell ref="BB29:CA29"/>
    <mergeCell ref="CB29:DA29"/>
    <mergeCell ref="A29:BA29"/>
    <mergeCell ref="BB30:CA30"/>
    <mergeCell ref="CB30:DA30"/>
    <mergeCell ref="A30:BA30"/>
    <mergeCell ref="A26:BA26"/>
    <mergeCell ref="A27:BA27"/>
    <mergeCell ref="BB28:CA28"/>
    <mergeCell ref="CB28:DA28"/>
    <mergeCell ref="A28:BA28"/>
    <mergeCell ref="BB26:CA26"/>
    <mergeCell ref="CB26:DA26"/>
    <mergeCell ref="BB27:CA27"/>
    <mergeCell ref="CB27:DA27"/>
    <mergeCell ref="BB24:CA24"/>
    <mergeCell ref="CB24:DA24"/>
    <mergeCell ref="A24:BA24"/>
    <mergeCell ref="BB25:CA25"/>
    <mergeCell ref="CB25:DA25"/>
    <mergeCell ref="A25:BA25"/>
    <mergeCell ref="BB21:CA21"/>
    <mergeCell ref="CB21:DA21"/>
    <mergeCell ref="A21:BA21"/>
    <mergeCell ref="BB22:CA22"/>
    <mergeCell ref="CB22:DA22"/>
    <mergeCell ref="BB23:CA23"/>
    <mergeCell ref="CB23:DA23"/>
    <mergeCell ref="A22:BA22"/>
    <mergeCell ref="A23:BA23"/>
    <mergeCell ref="B19:BA19"/>
    <mergeCell ref="BB19:CA19"/>
    <mergeCell ref="CB19:DA19"/>
    <mergeCell ref="BB20:CA20"/>
    <mergeCell ref="CB20:DA20"/>
    <mergeCell ref="A20:B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A16:BA16"/>
    <mergeCell ref="BB16:CA16"/>
    <mergeCell ref="CB16:DA16"/>
    <mergeCell ref="A14:BA14"/>
    <mergeCell ref="BB14:CA14"/>
    <mergeCell ref="CB14:DA14"/>
    <mergeCell ref="BY11:BZ11"/>
    <mergeCell ref="CA11:CC11"/>
    <mergeCell ref="CD11:CE11"/>
    <mergeCell ref="CF11:CO11"/>
    <mergeCell ref="AK6:BL6"/>
    <mergeCell ref="BZ7:DA7"/>
    <mergeCell ref="BZ9:DA9"/>
    <mergeCell ref="BZ10:DA10"/>
    <mergeCell ref="BZ8:DA8"/>
    <mergeCell ref="CP11:CR11"/>
    <mergeCell ref="CS11:CU11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 horizontalCentered="1"/>
  <pageMargins left="0.7875" right="0.5118055555555555" top="0.5902777777777778" bottom="0.39375" header="0.19652777777777777" footer="0.5118055555555555"/>
  <pageSetup horizontalDpi="300" verticalDpi="300" orientation="portrait" paperSize="9" scale="86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7">
      <selection activeCell="DI16" sqref="DI16"/>
    </sheetView>
  </sheetViews>
  <sheetFormatPr defaultColWidth="0.875" defaultRowHeight="12.75"/>
  <cols>
    <col min="1" max="2" width="0.875" style="179" customWidth="1"/>
    <col min="3" max="3" width="3.875" style="179" customWidth="1"/>
    <col min="4" max="28" width="0.875" style="179" customWidth="1"/>
    <col min="29" max="29" width="1.25" style="179" customWidth="1"/>
    <col min="30" max="39" width="0.875" style="179" customWidth="1"/>
    <col min="40" max="40" width="1.625" style="179" customWidth="1"/>
    <col min="41" max="47" width="0.875" style="179" customWidth="1"/>
    <col min="48" max="48" width="2.875" style="179" customWidth="1"/>
    <col min="49" max="87" width="0.875" style="179" customWidth="1"/>
    <col min="88" max="88" width="2.125" style="179" customWidth="1"/>
    <col min="89" max="89" width="1.875" style="179" customWidth="1"/>
    <col min="90" max="107" width="0.875" style="179" customWidth="1"/>
    <col min="108" max="108" width="2.00390625" style="179" customWidth="1"/>
    <col min="109" max="112" width="0.875" style="179" customWidth="1"/>
    <col min="113" max="113" width="20.875" style="179" customWidth="1"/>
    <col min="114" max="16384" width="0.875" style="179" customWidth="1"/>
  </cols>
  <sheetData>
    <row r="1" ht="11.25">
      <c r="DD1" s="180" t="s">
        <v>473</v>
      </c>
    </row>
    <row r="2" ht="11.25">
      <c r="DD2" s="180" t="s">
        <v>1</v>
      </c>
    </row>
    <row r="3" spans="43:108" ht="11.25"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DD3" s="180" t="s">
        <v>2</v>
      </c>
    </row>
    <row r="4" spans="43:92" s="182" customFormat="1" ht="15.75"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4"/>
    </row>
    <row r="5" spans="1:108" s="187" customFormat="1" ht="30.75" customHeight="1">
      <c r="A5" s="371" t="s">
        <v>474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</row>
    <row r="6" spans="1:92" s="187" customFormat="1" ht="15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</row>
    <row r="7" spans="1:108" s="187" customFormat="1" ht="12.7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BA7" s="186"/>
      <c r="BB7" s="186"/>
      <c r="BC7" s="186"/>
      <c r="BD7" s="186"/>
      <c r="BE7" s="186"/>
      <c r="BF7" s="186"/>
      <c r="BG7" s="186"/>
      <c r="BH7" s="186"/>
      <c r="BI7" s="186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9" t="s">
        <v>445</v>
      </c>
    </row>
    <row r="8" spans="1:108" s="190" customFormat="1" ht="1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BZ8" s="191"/>
      <c r="CA8" s="347" t="s">
        <v>475</v>
      </c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</row>
    <row r="9" spans="1:108" s="190" customFormat="1" ht="1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BZ9" s="191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</row>
    <row r="10" spans="79:108" s="191" customFormat="1" ht="12.75"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</row>
    <row r="11" spans="79:108" s="191" customFormat="1" ht="12.75">
      <c r="CA11" s="20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</row>
    <row r="12" spans="78:108" s="191" customFormat="1" ht="12.75">
      <c r="BZ12" s="179"/>
      <c r="CA12" s="343" t="s">
        <v>4</v>
      </c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</row>
    <row r="13" spans="78:108" ht="12" customHeight="1">
      <c r="BZ13" s="344" t="s">
        <v>281</v>
      </c>
      <c r="CA13" s="344"/>
      <c r="CB13" s="345" t="s">
        <v>447</v>
      </c>
      <c r="CC13" s="345"/>
      <c r="CD13" s="345"/>
      <c r="CE13" s="346" t="s">
        <v>281</v>
      </c>
      <c r="CF13" s="346"/>
      <c r="CG13" s="191"/>
      <c r="CH13" s="345" t="s">
        <v>448</v>
      </c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191"/>
      <c r="CT13" s="344">
        <v>20</v>
      </c>
      <c r="CU13" s="344"/>
      <c r="CV13" s="344"/>
      <c r="CW13" s="406" t="s">
        <v>284</v>
      </c>
      <c r="CX13" s="406"/>
      <c r="CY13" s="406"/>
      <c r="CZ13" s="192" t="s">
        <v>449</v>
      </c>
      <c r="DA13" s="191"/>
      <c r="DB13" s="191"/>
      <c r="DC13" s="191"/>
      <c r="DD13" s="192"/>
    </row>
    <row r="14" s="191" customFormat="1" ht="12.75">
      <c r="DD14" s="189" t="s">
        <v>8</v>
      </c>
    </row>
    <row r="15" s="191" customFormat="1" ht="12.75"/>
    <row r="16" spans="1:108" s="203" customFormat="1" ht="23.25" customHeight="1">
      <c r="A16" s="340" t="s">
        <v>359</v>
      </c>
      <c r="B16" s="341"/>
      <c r="C16" s="341"/>
      <c r="D16" s="341"/>
      <c r="E16" s="340" t="s">
        <v>476</v>
      </c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 t="s">
        <v>477</v>
      </c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 t="s">
        <v>478</v>
      </c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 t="s">
        <v>479</v>
      </c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</row>
    <row r="17" spans="1:108" s="203" customFormat="1" ht="88.5" customHeight="1">
      <c r="A17" s="341"/>
      <c r="B17" s="341"/>
      <c r="C17" s="341"/>
      <c r="D17" s="341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 t="s">
        <v>480</v>
      </c>
      <c r="V17" s="341"/>
      <c r="W17" s="341"/>
      <c r="X17" s="341"/>
      <c r="Y17" s="341"/>
      <c r="Z17" s="341"/>
      <c r="AA17" s="341"/>
      <c r="AB17" s="341"/>
      <c r="AC17" s="341"/>
      <c r="AD17" s="341"/>
      <c r="AE17" s="340" t="s">
        <v>481</v>
      </c>
      <c r="AF17" s="341"/>
      <c r="AG17" s="341"/>
      <c r="AH17" s="341"/>
      <c r="AI17" s="341"/>
      <c r="AJ17" s="341"/>
      <c r="AK17" s="341"/>
      <c r="AL17" s="341"/>
      <c r="AM17" s="341"/>
      <c r="AN17" s="341"/>
      <c r="AO17" s="340" t="s">
        <v>482</v>
      </c>
      <c r="AP17" s="341"/>
      <c r="AQ17" s="341"/>
      <c r="AR17" s="341"/>
      <c r="AS17" s="341"/>
      <c r="AT17" s="341"/>
      <c r="AU17" s="341"/>
      <c r="AV17" s="341"/>
      <c r="AW17" s="340" t="s">
        <v>483</v>
      </c>
      <c r="AX17" s="341"/>
      <c r="AY17" s="341"/>
      <c r="AZ17" s="341"/>
      <c r="BA17" s="341"/>
      <c r="BB17" s="341"/>
      <c r="BC17" s="341"/>
      <c r="BD17" s="341"/>
      <c r="BE17" s="341"/>
      <c r="BF17" s="341"/>
      <c r="BG17" s="340" t="s">
        <v>234</v>
      </c>
      <c r="BH17" s="341"/>
      <c r="BI17" s="341"/>
      <c r="BJ17" s="341"/>
      <c r="BK17" s="341"/>
      <c r="BL17" s="341"/>
      <c r="BM17" s="341"/>
      <c r="BN17" s="341"/>
      <c r="BO17" s="341"/>
      <c r="BP17" s="341"/>
      <c r="BQ17" s="340" t="s">
        <v>484</v>
      </c>
      <c r="BR17" s="341"/>
      <c r="BS17" s="341"/>
      <c r="BT17" s="341"/>
      <c r="BU17" s="341"/>
      <c r="BV17" s="341"/>
      <c r="BW17" s="341"/>
      <c r="BX17" s="341"/>
      <c r="BY17" s="341"/>
      <c r="BZ17" s="341"/>
      <c r="CA17" s="340" t="s">
        <v>485</v>
      </c>
      <c r="CB17" s="341"/>
      <c r="CC17" s="341"/>
      <c r="CD17" s="341"/>
      <c r="CE17" s="341"/>
      <c r="CF17" s="341"/>
      <c r="CG17" s="341"/>
      <c r="CH17" s="341"/>
      <c r="CI17" s="341"/>
      <c r="CJ17" s="341"/>
      <c r="CK17" s="340" t="s">
        <v>486</v>
      </c>
      <c r="CL17" s="341"/>
      <c r="CM17" s="341"/>
      <c r="CN17" s="341"/>
      <c r="CO17" s="341"/>
      <c r="CP17" s="341"/>
      <c r="CQ17" s="341"/>
      <c r="CR17" s="341"/>
      <c r="CS17" s="341"/>
      <c r="CT17" s="341"/>
      <c r="CU17" s="340" t="s">
        <v>487</v>
      </c>
      <c r="CV17" s="341"/>
      <c r="CW17" s="341"/>
      <c r="CX17" s="341"/>
      <c r="CY17" s="341"/>
      <c r="CZ17" s="341"/>
      <c r="DA17" s="341"/>
      <c r="DB17" s="341"/>
      <c r="DC17" s="341"/>
      <c r="DD17" s="341"/>
    </row>
    <row r="18" spans="1:108" s="204" customFormat="1" ht="76.5" customHeight="1">
      <c r="A18" s="469">
        <v>1</v>
      </c>
      <c r="B18" s="469"/>
      <c r="C18" s="469"/>
      <c r="D18" s="469"/>
      <c r="E18" s="338" t="s">
        <v>198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 t="s">
        <v>488</v>
      </c>
      <c r="V18" s="338"/>
      <c r="W18" s="338"/>
      <c r="X18" s="338"/>
      <c r="Y18" s="338"/>
      <c r="Z18" s="338"/>
      <c r="AA18" s="338"/>
      <c r="AB18" s="338"/>
      <c r="AC18" s="338"/>
      <c r="AD18" s="338"/>
      <c r="AE18" s="338">
        <v>0</v>
      </c>
      <c r="AF18" s="338"/>
      <c r="AG18" s="338"/>
      <c r="AH18" s="338"/>
      <c r="AI18" s="338"/>
      <c r="AJ18" s="338"/>
      <c r="AK18" s="338"/>
      <c r="AL18" s="338"/>
      <c r="AM18" s="338"/>
      <c r="AN18" s="338"/>
      <c r="AO18" s="338" t="s">
        <v>489</v>
      </c>
      <c r="AP18" s="338"/>
      <c r="AQ18" s="338"/>
      <c r="AR18" s="338"/>
      <c r="AS18" s="338"/>
      <c r="AT18" s="338"/>
      <c r="AU18" s="338"/>
      <c r="AV18" s="338"/>
      <c r="AW18" s="338">
        <v>2016</v>
      </c>
      <c r="AX18" s="338"/>
      <c r="AY18" s="338"/>
      <c r="AZ18" s="338"/>
      <c r="BA18" s="338"/>
      <c r="BB18" s="338"/>
      <c r="BC18" s="338"/>
      <c r="BD18" s="338"/>
      <c r="BE18" s="338"/>
      <c r="BF18" s="338"/>
      <c r="BG18" s="338">
        <v>2016</v>
      </c>
      <c r="BH18" s="338"/>
      <c r="BI18" s="338"/>
      <c r="BJ18" s="338"/>
      <c r="BK18" s="338"/>
      <c r="BL18" s="338"/>
      <c r="BM18" s="338"/>
      <c r="BN18" s="338"/>
      <c r="BO18" s="338"/>
      <c r="BP18" s="338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</row>
    <row r="19" spans="1:108" s="205" customFormat="1" ht="101.25" customHeight="1">
      <c r="A19" s="469">
        <v>2</v>
      </c>
      <c r="B19" s="469"/>
      <c r="C19" s="469"/>
      <c r="D19" s="469"/>
      <c r="E19" s="338" t="s">
        <v>196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>
        <v>0</v>
      </c>
      <c r="V19" s="338"/>
      <c r="W19" s="338"/>
      <c r="X19" s="338"/>
      <c r="Y19" s="338"/>
      <c r="Z19" s="338"/>
      <c r="AA19" s="338"/>
      <c r="AB19" s="338"/>
      <c r="AC19" s="338"/>
      <c r="AD19" s="338"/>
      <c r="AE19" s="338">
        <v>0</v>
      </c>
      <c r="AF19" s="338"/>
      <c r="AG19" s="338"/>
      <c r="AH19" s="338"/>
      <c r="AI19" s="338"/>
      <c r="AJ19" s="338"/>
      <c r="AK19" s="338"/>
      <c r="AL19" s="338"/>
      <c r="AM19" s="338"/>
      <c r="AN19" s="338"/>
      <c r="AO19" s="338" t="s">
        <v>490</v>
      </c>
      <c r="AP19" s="338"/>
      <c r="AQ19" s="338"/>
      <c r="AR19" s="338"/>
      <c r="AS19" s="338"/>
      <c r="AT19" s="338"/>
      <c r="AU19" s="338"/>
      <c r="AV19" s="338"/>
      <c r="AW19" s="338">
        <v>2016</v>
      </c>
      <c r="AX19" s="338"/>
      <c r="AY19" s="338"/>
      <c r="AZ19" s="338"/>
      <c r="BA19" s="338"/>
      <c r="BB19" s="338"/>
      <c r="BC19" s="338"/>
      <c r="BD19" s="338"/>
      <c r="BE19" s="338"/>
      <c r="BF19" s="338"/>
      <c r="BG19" s="338">
        <v>2016</v>
      </c>
      <c r="BH19" s="338"/>
      <c r="BI19" s="338"/>
      <c r="BJ19" s="338"/>
      <c r="BK19" s="338"/>
      <c r="BL19" s="338"/>
      <c r="BM19" s="338"/>
      <c r="BN19" s="338"/>
      <c r="BO19" s="338"/>
      <c r="BP19" s="338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</row>
    <row r="20" spans="1:108" s="205" customFormat="1" ht="113.25" customHeight="1">
      <c r="A20" s="469">
        <v>3</v>
      </c>
      <c r="B20" s="469"/>
      <c r="C20" s="469"/>
      <c r="D20" s="469"/>
      <c r="E20" s="338" t="s">
        <v>204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 t="s">
        <v>488</v>
      </c>
      <c r="V20" s="338"/>
      <c r="W20" s="338"/>
      <c r="X20" s="338"/>
      <c r="Y20" s="338"/>
      <c r="Z20" s="338"/>
      <c r="AA20" s="338"/>
      <c r="AB20" s="338"/>
      <c r="AC20" s="338"/>
      <c r="AD20" s="338"/>
      <c r="AE20" s="338">
        <v>0</v>
      </c>
      <c r="AF20" s="338"/>
      <c r="AG20" s="338"/>
      <c r="AH20" s="338"/>
      <c r="AI20" s="338"/>
      <c r="AJ20" s="338"/>
      <c r="AK20" s="338"/>
      <c r="AL20" s="338"/>
      <c r="AM20" s="338"/>
      <c r="AN20" s="338"/>
      <c r="AO20" s="338" t="s">
        <v>245</v>
      </c>
      <c r="AP20" s="338"/>
      <c r="AQ20" s="338"/>
      <c r="AR20" s="338"/>
      <c r="AS20" s="338"/>
      <c r="AT20" s="338"/>
      <c r="AU20" s="338"/>
      <c r="AV20" s="338"/>
      <c r="AW20" s="338">
        <v>2016</v>
      </c>
      <c r="AX20" s="338"/>
      <c r="AY20" s="338"/>
      <c r="AZ20" s="338"/>
      <c r="BA20" s="338"/>
      <c r="BB20" s="338"/>
      <c r="BC20" s="338"/>
      <c r="BD20" s="338"/>
      <c r="BE20" s="338"/>
      <c r="BF20" s="338"/>
      <c r="BG20" s="338">
        <v>2016</v>
      </c>
      <c r="BH20" s="338"/>
      <c r="BI20" s="338"/>
      <c r="BJ20" s="338"/>
      <c r="BK20" s="338"/>
      <c r="BL20" s="338"/>
      <c r="BM20" s="338"/>
      <c r="BN20" s="338"/>
      <c r="BO20" s="338"/>
      <c r="BP20" s="338"/>
      <c r="BQ20" s="470"/>
      <c r="BR20" s="470"/>
      <c r="BS20" s="470"/>
      <c r="BT20" s="470"/>
      <c r="BU20" s="470"/>
      <c r="BV20" s="470"/>
      <c r="BW20" s="470"/>
      <c r="BX20" s="470"/>
      <c r="BY20" s="470"/>
      <c r="BZ20" s="470"/>
      <c r="CA20" s="470"/>
      <c r="CB20" s="470"/>
      <c r="CC20" s="470"/>
      <c r="CD20" s="470"/>
      <c r="CE20" s="470"/>
      <c r="CF20" s="470"/>
      <c r="CG20" s="470"/>
      <c r="CH20" s="470"/>
      <c r="CI20" s="470"/>
      <c r="CJ20" s="470"/>
      <c r="CK20" s="470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70"/>
      <c r="CW20" s="470"/>
      <c r="CX20" s="470"/>
      <c r="CY20" s="470"/>
      <c r="CZ20" s="470"/>
      <c r="DA20" s="470"/>
      <c r="DB20" s="470"/>
      <c r="DC20" s="470"/>
      <c r="DD20" s="470"/>
    </row>
    <row r="21" spans="1:108" s="205" customFormat="1" ht="81" customHeight="1">
      <c r="A21" s="469">
        <v>4</v>
      </c>
      <c r="B21" s="469"/>
      <c r="C21" s="469"/>
      <c r="D21" s="469"/>
      <c r="E21" s="338" t="s">
        <v>206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>
        <v>0</v>
      </c>
      <c r="V21" s="338"/>
      <c r="W21" s="338"/>
      <c r="X21" s="338"/>
      <c r="Y21" s="338"/>
      <c r="Z21" s="338"/>
      <c r="AA21" s="338"/>
      <c r="AB21" s="338"/>
      <c r="AC21" s="338"/>
      <c r="AD21" s="338"/>
      <c r="AE21" s="338">
        <v>0</v>
      </c>
      <c r="AF21" s="338"/>
      <c r="AG21" s="338"/>
      <c r="AH21" s="338"/>
      <c r="AI21" s="338"/>
      <c r="AJ21" s="338"/>
      <c r="AK21" s="338"/>
      <c r="AL21" s="338"/>
      <c r="AM21" s="338"/>
      <c r="AN21" s="338"/>
      <c r="AO21" s="338" t="s">
        <v>491</v>
      </c>
      <c r="AP21" s="338"/>
      <c r="AQ21" s="338"/>
      <c r="AR21" s="338"/>
      <c r="AS21" s="338"/>
      <c r="AT21" s="338"/>
      <c r="AU21" s="338"/>
      <c r="AV21" s="338"/>
      <c r="AW21" s="338">
        <v>2016</v>
      </c>
      <c r="AX21" s="338"/>
      <c r="AY21" s="338"/>
      <c r="AZ21" s="338"/>
      <c r="BA21" s="338"/>
      <c r="BB21" s="338"/>
      <c r="BC21" s="338"/>
      <c r="BD21" s="338"/>
      <c r="BE21" s="338"/>
      <c r="BF21" s="338"/>
      <c r="BG21" s="338">
        <v>2016</v>
      </c>
      <c r="BH21" s="338"/>
      <c r="BI21" s="338"/>
      <c r="BJ21" s="338"/>
      <c r="BK21" s="338"/>
      <c r="BL21" s="338"/>
      <c r="BM21" s="338"/>
      <c r="BN21" s="338"/>
      <c r="BO21" s="338"/>
      <c r="BP21" s="338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</row>
  </sheetData>
  <sheetProtection/>
  <mergeCells count="68">
    <mergeCell ref="CH13:CR13"/>
    <mergeCell ref="BQ17:BZ17"/>
    <mergeCell ref="CA19:CJ19"/>
    <mergeCell ref="CK21:CT21"/>
    <mergeCell ref="BQ20:BZ20"/>
    <mergeCell ref="CA20:CJ20"/>
    <mergeCell ref="BQ18:BZ18"/>
    <mergeCell ref="CA8:DD10"/>
    <mergeCell ref="CB11:DD11"/>
    <mergeCell ref="BQ16:DD16"/>
    <mergeCell ref="CA17:CJ17"/>
    <mergeCell ref="CW13:CY13"/>
    <mergeCell ref="CU21:DD21"/>
    <mergeCell ref="CK17:CT17"/>
    <mergeCell ref="CU17:DD17"/>
    <mergeCell ref="CK18:CT18"/>
    <mergeCell ref="CU18:DD18"/>
    <mergeCell ref="CK19:CT19"/>
    <mergeCell ref="CU19:DD19"/>
    <mergeCell ref="CK20:CT20"/>
    <mergeCell ref="A5:DD5"/>
    <mergeCell ref="CU20:DD20"/>
    <mergeCell ref="CA12:DD12"/>
    <mergeCell ref="BZ13:CA13"/>
    <mergeCell ref="CB13:CD13"/>
    <mergeCell ref="CE13:CF13"/>
    <mergeCell ref="CT13:CV13"/>
    <mergeCell ref="AW16:BP16"/>
    <mergeCell ref="CA18:CJ18"/>
    <mergeCell ref="BQ19:BZ19"/>
    <mergeCell ref="BG20:BP20"/>
    <mergeCell ref="AW19:BF19"/>
    <mergeCell ref="BG19:BP19"/>
    <mergeCell ref="AO17:AV17"/>
    <mergeCell ref="AO18:AV18"/>
    <mergeCell ref="AW17:BF17"/>
    <mergeCell ref="BG17:BP17"/>
    <mergeCell ref="AW18:BF18"/>
    <mergeCell ref="BG18:BP18"/>
    <mergeCell ref="AO19:AV19"/>
    <mergeCell ref="U20:AD20"/>
    <mergeCell ref="BQ21:BZ21"/>
    <mergeCell ref="CA21:CJ21"/>
    <mergeCell ref="U21:AD21"/>
    <mergeCell ref="AE21:AN21"/>
    <mergeCell ref="AW21:BF21"/>
    <mergeCell ref="BG21:BP21"/>
    <mergeCell ref="AO20:AV20"/>
    <mergeCell ref="AO21:AV21"/>
    <mergeCell ref="AW20:BF20"/>
    <mergeCell ref="AE19:AN19"/>
    <mergeCell ref="U18:AD18"/>
    <mergeCell ref="U19:AD19"/>
    <mergeCell ref="A21:D21"/>
    <mergeCell ref="E21:T21"/>
    <mergeCell ref="A19:D19"/>
    <mergeCell ref="A20:D20"/>
    <mergeCell ref="E19:T19"/>
    <mergeCell ref="E20:T20"/>
    <mergeCell ref="AE20:AN20"/>
    <mergeCell ref="A16:D17"/>
    <mergeCell ref="E16:T17"/>
    <mergeCell ref="U17:AD17"/>
    <mergeCell ref="AE17:AN17"/>
    <mergeCell ref="E18:T18"/>
    <mergeCell ref="A18:D18"/>
    <mergeCell ref="AE18:AN18"/>
    <mergeCell ref="U16:AV1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view="pageBreakPreview" zoomScale="85" zoomScaleNormal="60" zoomScaleSheetLayoutView="85" zoomScalePageLayoutView="0" workbookViewId="0" topLeftCell="A31">
      <selection activeCell="A86" sqref="A86:T86"/>
    </sheetView>
  </sheetViews>
  <sheetFormatPr defaultColWidth="13.125" defaultRowHeight="12.75" outlineLevelCol="1"/>
  <cols>
    <col min="1" max="1" width="8.00390625" style="67" customWidth="1"/>
    <col min="2" max="2" width="50.125" style="68" customWidth="1"/>
    <col min="3" max="3" width="11.00390625" style="67" customWidth="1"/>
    <col min="4" max="4" width="11.875" style="67" customWidth="1"/>
    <col min="5" max="6" width="11.75390625" style="67" customWidth="1"/>
    <col min="7" max="7" width="8.875" style="67" customWidth="1"/>
    <col min="8" max="12" width="8.875" style="69" customWidth="1"/>
    <col min="13" max="24" width="8.875" style="67" customWidth="1"/>
    <col min="25" max="26" width="10.00390625" style="67" customWidth="1"/>
    <col min="27" max="27" width="10.75390625" style="67" customWidth="1"/>
    <col min="28" max="30" width="8.875" style="67" customWidth="1"/>
    <col min="31" max="31" width="11.00390625" style="67" customWidth="1"/>
    <col min="32" max="32" width="9.00390625" style="67" customWidth="1"/>
    <col min="33" max="33" width="8.875" style="67" customWidth="1"/>
    <col min="34" max="34" width="14.00390625" style="67" customWidth="1"/>
    <col min="35" max="35" width="10.00390625" style="67" customWidth="1"/>
    <col min="36" max="36" width="10.875" style="67" customWidth="1"/>
    <col min="37" max="37" width="9.125" style="67" hidden="1" customWidth="1" outlineLevel="1"/>
    <col min="38" max="38" width="13.125" style="67" customWidth="1" collapsed="1"/>
    <col min="39" max="16384" width="13.125" style="67" customWidth="1"/>
  </cols>
  <sheetData>
    <row r="1" spans="1:36" ht="14.25" customHeight="1">
      <c r="A1" s="70"/>
      <c r="B1" s="71"/>
      <c r="AG1" s="233" t="s">
        <v>217</v>
      </c>
      <c r="AH1" s="233"/>
      <c r="AI1" s="233"/>
      <c r="AJ1" s="233"/>
    </row>
    <row r="2" spans="1:36" ht="14.25" customHeight="1">
      <c r="A2" s="70"/>
      <c r="B2" s="71"/>
      <c r="AG2" s="233" t="s">
        <v>1</v>
      </c>
      <c r="AH2" s="233"/>
      <c r="AI2" s="233"/>
      <c r="AJ2" s="233"/>
    </row>
    <row r="3" spans="1:36" ht="14.25" customHeight="1">
      <c r="A3" s="70"/>
      <c r="B3" s="71"/>
      <c r="AG3" s="233" t="s">
        <v>2</v>
      </c>
      <c r="AH3" s="233"/>
      <c r="AI3" s="233"/>
      <c r="AJ3" s="233"/>
    </row>
    <row r="4" spans="1:36" ht="14.25" customHeight="1">
      <c r="A4" s="70"/>
      <c r="B4" s="71"/>
      <c r="AG4" s="72"/>
      <c r="AH4" s="72"/>
      <c r="AI4" s="72"/>
      <c r="AJ4" s="72"/>
    </row>
    <row r="5" spans="1:36" ht="14.25" customHeight="1">
      <c r="A5" s="70"/>
      <c r="B5" s="71"/>
      <c r="AG5" s="73"/>
      <c r="AH5" s="73"/>
      <c r="AI5" s="73"/>
      <c r="AJ5" s="73"/>
    </row>
    <row r="6" spans="1:36" ht="67.5" customHeight="1">
      <c r="A6" s="70"/>
      <c r="B6" s="71"/>
      <c r="AG6" s="234" t="s">
        <v>3</v>
      </c>
      <c r="AH6" s="234"/>
      <c r="AI6" s="234"/>
      <c r="AJ6" s="234"/>
    </row>
    <row r="7" spans="1:36" ht="16.5">
      <c r="A7" s="70"/>
      <c r="B7" s="71"/>
      <c r="AG7" s="74"/>
      <c r="AH7" s="74"/>
      <c r="AI7" s="74"/>
      <c r="AJ7" s="74"/>
    </row>
    <row r="8" spans="1:36" ht="14.25" customHeight="1">
      <c r="A8" s="70"/>
      <c r="B8" s="71"/>
      <c r="AG8" s="230"/>
      <c r="AH8" s="230"/>
      <c r="AI8" s="230"/>
      <c r="AJ8" s="230"/>
    </row>
    <row r="9" spans="1:36" ht="12.75" customHeight="1">
      <c r="A9" s="70"/>
      <c r="B9" s="71"/>
      <c r="AG9" s="231" t="s">
        <v>4</v>
      </c>
      <c r="AH9" s="231"/>
      <c r="AI9" s="231"/>
      <c r="AJ9" s="231"/>
    </row>
    <row r="10" spans="1:36" ht="15.75">
      <c r="A10" s="70"/>
      <c r="B10" s="71"/>
      <c r="AG10" s="232" t="s">
        <v>5</v>
      </c>
      <c r="AH10" s="232"/>
      <c r="AI10" s="232"/>
      <c r="AJ10" s="232"/>
    </row>
    <row r="11" spans="1:36" ht="14.25" customHeight="1">
      <c r="A11" s="70"/>
      <c r="B11" s="71"/>
      <c r="AG11" s="233" t="s">
        <v>7</v>
      </c>
      <c r="AH11" s="233"/>
      <c r="AI11" s="233"/>
      <c r="AJ11" s="233"/>
    </row>
    <row r="12" spans="1:13" ht="15.75">
      <c r="A12" s="70"/>
      <c r="B12" s="71"/>
      <c r="M12" s="75"/>
    </row>
    <row r="13" spans="1:36" ht="15.75" customHeight="1">
      <c r="A13" s="227" t="s">
        <v>218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</row>
    <row r="14" spans="1:13" ht="15.75">
      <c r="A14" s="70"/>
      <c r="B14" s="71"/>
      <c r="C14" s="76"/>
      <c r="H14" s="77"/>
      <c r="M14" s="75"/>
    </row>
    <row r="15" spans="1:36" s="79" customFormat="1" ht="36" customHeight="1">
      <c r="A15" s="224" t="s">
        <v>219</v>
      </c>
      <c r="B15" s="228" t="s">
        <v>220</v>
      </c>
      <c r="C15" s="224" t="s">
        <v>221</v>
      </c>
      <c r="D15" s="224"/>
      <c r="E15" s="224"/>
      <c r="F15" s="224"/>
      <c r="G15" s="224"/>
      <c r="H15" s="229" t="s">
        <v>222</v>
      </c>
      <c r="I15" s="229"/>
      <c r="J15" s="229"/>
      <c r="K15" s="229"/>
      <c r="L15" s="229"/>
      <c r="M15" s="224" t="s">
        <v>223</v>
      </c>
      <c r="N15" s="224"/>
      <c r="O15" s="224"/>
      <c r="P15" s="224"/>
      <c r="Q15" s="224"/>
      <c r="R15" s="224" t="s">
        <v>224</v>
      </c>
      <c r="S15" s="224"/>
      <c r="T15" s="224"/>
      <c r="U15" s="224"/>
      <c r="V15" s="224"/>
      <c r="W15" s="224" t="s">
        <v>225</v>
      </c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</row>
    <row r="16" spans="1:36" s="79" customFormat="1" ht="14.25" customHeight="1">
      <c r="A16" s="224"/>
      <c r="B16" s="228"/>
      <c r="C16" s="225" t="s">
        <v>19</v>
      </c>
      <c r="D16" s="225" t="s">
        <v>226</v>
      </c>
      <c r="E16" s="225" t="s">
        <v>227</v>
      </c>
      <c r="F16" s="225" t="s">
        <v>228</v>
      </c>
      <c r="G16" s="225" t="s">
        <v>229</v>
      </c>
      <c r="H16" s="226" t="s">
        <v>19</v>
      </c>
      <c r="I16" s="226" t="s">
        <v>226</v>
      </c>
      <c r="J16" s="226" t="s">
        <v>227</v>
      </c>
      <c r="K16" s="226" t="s">
        <v>228</v>
      </c>
      <c r="L16" s="226" t="s">
        <v>229</v>
      </c>
      <c r="M16" s="225" t="s">
        <v>19</v>
      </c>
      <c r="N16" s="225" t="s">
        <v>226</v>
      </c>
      <c r="O16" s="225" t="s">
        <v>227</v>
      </c>
      <c r="P16" s="225" t="s">
        <v>228</v>
      </c>
      <c r="Q16" s="225" t="s">
        <v>229</v>
      </c>
      <c r="R16" s="225" t="s">
        <v>19</v>
      </c>
      <c r="S16" s="225" t="s">
        <v>226</v>
      </c>
      <c r="T16" s="225" t="s">
        <v>227</v>
      </c>
      <c r="U16" s="225" t="s">
        <v>228</v>
      </c>
      <c r="V16" s="225" t="s">
        <v>229</v>
      </c>
      <c r="W16" s="224" t="s">
        <v>230</v>
      </c>
      <c r="X16" s="224"/>
      <c r="Y16" s="224"/>
      <c r="Z16" s="224"/>
      <c r="AA16" s="224" t="s">
        <v>231</v>
      </c>
      <c r="AB16" s="224"/>
      <c r="AC16" s="224"/>
      <c r="AD16" s="224"/>
      <c r="AE16" s="224" t="s">
        <v>232</v>
      </c>
      <c r="AF16" s="224"/>
      <c r="AG16" s="224"/>
      <c r="AH16" s="224"/>
      <c r="AI16" s="224"/>
      <c r="AJ16" s="224" t="s">
        <v>233</v>
      </c>
    </row>
    <row r="17" spans="1:36" s="79" customFormat="1" ht="105">
      <c r="A17" s="224"/>
      <c r="B17" s="228"/>
      <c r="C17" s="225"/>
      <c r="D17" s="225"/>
      <c r="E17" s="225"/>
      <c r="F17" s="225"/>
      <c r="G17" s="225"/>
      <c r="H17" s="226"/>
      <c r="I17" s="226"/>
      <c r="J17" s="226"/>
      <c r="K17" s="226"/>
      <c r="L17" s="226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80" t="s">
        <v>234</v>
      </c>
      <c r="X17" s="80" t="s">
        <v>235</v>
      </c>
      <c r="Y17" s="80" t="s">
        <v>236</v>
      </c>
      <c r="Z17" s="80" t="s">
        <v>237</v>
      </c>
      <c r="AA17" s="80" t="s">
        <v>234</v>
      </c>
      <c r="AB17" s="80" t="s">
        <v>235</v>
      </c>
      <c r="AC17" s="80" t="s">
        <v>238</v>
      </c>
      <c r="AD17" s="80" t="s">
        <v>239</v>
      </c>
      <c r="AE17" s="80" t="s">
        <v>234</v>
      </c>
      <c r="AF17" s="80" t="s">
        <v>235</v>
      </c>
      <c r="AG17" s="80" t="s">
        <v>240</v>
      </c>
      <c r="AH17" s="80" t="s">
        <v>241</v>
      </c>
      <c r="AI17" s="80" t="s">
        <v>242</v>
      </c>
      <c r="AJ17" s="224"/>
    </row>
    <row r="18" spans="1:36" s="79" customFormat="1" ht="15.75">
      <c r="A18" s="80"/>
      <c r="B18" s="82" t="s">
        <v>34</v>
      </c>
      <c r="C18" s="83">
        <f aca="true" t="shared" si="0" ref="C18:V18">C19+C75+C80</f>
        <v>13.5218940526464</v>
      </c>
      <c r="D18" s="83">
        <f t="shared" si="0"/>
        <v>0</v>
      </c>
      <c r="E18" s="83">
        <f t="shared" si="0"/>
        <v>0</v>
      </c>
      <c r="F18" s="83">
        <f t="shared" si="0"/>
        <v>0</v>
      </c>
      <c r="G18" s="83">
        <f t="shared" si="0"/>
        <v>0</v>
      </c>
      <c r="H18" s="84">
        <f t="shared" si="0"/>
        <v>13.098218005</v>
      </c>
      <c r="I18" s="84">
        <f t="shared" si="0"/>
        <v>0</v>
      </c>
      <c r="J18" s="84">
        <f t="shared" si="0"/>
        <v>1.8273716117999999</v>
      </c>
      <c r="K18" s="84">
        <f t="shared" si="0"/>
        <v>7.309486447199999</v>
      </c>
      <c r="L18" s="84">
        <f t="shared" si="0"/>
        <v>3.9613599459999995</v>
      </c>
      <c r="M18" s="83">
        <f t="shared" si="0"/>
        <v>13.098218005</v>
      </c>
      <c r="N18" s="83">
        <f t="shared" si="0"/>
        <v>0</v>
      </c>
      <c r="O18" s="83">
        <f t="shared" si="0"/>
        <v>1.8273716117999999</v>
      </c>
      <c r="P18" s="83">
        <f t="shared" si="0"/>
        <v>7.309486447199999</v>
      </c>
      <c r="Q18" s="83">
        <f t="shared" si="0"/>
        <v>3.9613599459999995</v>
      </c>
      <c r="R18" s="83">
        <f t="shared" si="0"/>
        <v>13.098218005</v>
      </c>
      <c r="S18" s="83">
        <f t="shared" si="0"/>
        <v>0</v>
      </c>
      <c r="T18" s="83">
        <f t="shared" si="0"/>
        <v>1.8273716117999999</v>
      </c>
      <c r="U18" s="83">
        <f t="shared" si="0"/>
        <v>7.309486447199999</v>
      </c>
      <c r="V18" s="83">
        <f t="shared" si="0"/>
        <v>3.9613599459999995</v>
      </c>
      <c r="W18" s="83"/>
      <c r="X18" s="83"/>
      <c r="Y18" s="83">
        <f>Y19+Y75+Y80</f>
        <v>0</v>
      </c>
      <c r="Z18" s="83">
        <f>Z19+Z75</f>
        <v>0</v>
      </c>
      <c r="AA18" s="83"/>
      <c r="AB18" s="83"/>
      <c r="AC18" s="83">
        <f>AC19+AC75</f>
        <v>0</v>
      </c>
      <c r="AD18" s="83">
        <f>AD19+AD75</f>
        <v>0.001</v>
      </c>
      <c r="AE18" s="83"/>
      <c r="AF18" s="83"/>
      <c r="AG18" s="83">
        <f>AG19+AG75</f>
        <v>0</v>
      </c>
      <c r="AH18" s="83">
        <f>AH19+AH75</f>
        <v>0</v>
      </c>
      <c r="AI18" s="83">
        <f>AI19+AI75</f>
        <v>2.317</v>
      </c>
      <c r="AJ18" s="83">
        <f>AJ19+AJ75</f>
        <v>0</v>
      </c>
    </row>
    <row r="19" spans="1:36" s="79" customFormat="1" ht="43.5" customHeight="1">
      <c r="A19" s="78">
        <v>1</v>
      </c>
      <c r="B19" s="85" t="s">
        <v>35</v>
      </c>
      <c r="C19" s="83">
        <f aca="true" t="shared" si="1" ref="C19:V19">C20</f>
        <v>10.5444378126464</v>
      </c>
      <c r="D19" s="83">
        <f t="shared" si="1"/>
        <v>0</v>
      </c>
      <c r="E19" s="83">
        <f t="shared" si="1"/>
        <v>0</v>
      </c>
      <c r="F19" s="83">
        <f t="shared" si="1"/>
        <v>0</v>
      </c>
      <c r="G19" s="83">
        <f t="shared" si="1"/>
        <v>0</v>
      </c>
      <c r="H19" s="84">
        <f t="shared" si="1"/>
        <v>7.792994999</v>
      </c>
      <c r="I19" s="84">
        <f t="shared" si="1"/>
        <v>0</v>
      </c>
      <c r="J19" s="84">
        <f t="shared" si="1"/>
        <v>1.5585989998</v>
      </c>
      <c r="K19" s="84">
        <f t="shared" si="1"/>
        <v>6.2343959992</v>
      </c>
      <c r="L19" s="84">
        <f t="shared" si="1"/>
        <v>0</v>
      </c>
      <c r="M19" s="83">
        <f t="shared" si="1"/>
        <v>7.792994999</v>
      </c>
      <c r="N19" s="83">
        <f t="shared" si="1"/>
        <v>0</v>
      </c>
      <c r="O19" s="83">
        <f t="shared" si="1"/>
        <v>1.5585989998</v>
      </c>
      <c r="P19" s="83">
        <f t="shared" si="1"/>
        <v>6.2343959992</v>
      </c>
      <c r="Q19" s="83">
        <f t="shared" si="1"/>
        <v>0</v>
      </c>
      <c r="R19" s="83">
        <f t="shared" si="1"/>
        <v>7.792994999</v>
      </c>
      <c r="S19" s="83">
        <f t="shared" si="1"/>
        <v>0</v>
      </c>
      <c r="T19" s="83">
        <f t="shared" si="1"/>
        <v>1.5585989998</v>
      </c>
      <c r="U19" s="83">
        <f t="shared" si="1"/>
        <v>6.2343959992</v>
      </c>
      <c r="V19" s="83">
        <f t="shared" si="1"/>
        <v>0</v>
      </c>
      <c r="W19" s="83"/>
      <c r="X19" s="83"/>
      <c r="Y19" s="83">
        <f>Y20</f>
        <v>0</v>
      </c>
      <c r="Z19" s="83">
        <f>Z20</f>
        <v>0</v>
      </c>
      <c r="AA19" s="83"/>
      <c r="AB19" s="83"/>
      <c r="AC19" s="83">
        <f>AC20</f>
        <v>0</v>
      </c>
      <c r="AD19" s="83">
        <f>AD20</f>
        <v>0</v>
      </c>
      <c r="AE19" s="83"/>
      <c r="AF19" s="83"/>
      <c r="AG19" s="83">
        <f>AG20</f>
        <v>0</v>
      </c>
      <c r="AH19" s="83">
        <f>AH20</f>
        <v>0</v>
      </c>
      <c r="AI19" s="83">
        <f>AI20</f>
        <v>0</v>
      </c>
      <c r="AJ19" s="83">
        <f>AJ20</f>
        <v>0</v>
      </c>
    </row>
    <row r="20" spans="1:36" s="79" customFormat="1" ht="41.25" customHeight="1">
      <c r="A20" s="86" t="s">
        <v>36</v>
      </c>
      <c r="B20" s="85" t="s">
        <v>37</v>
      </c>
      <c r="C20" s="84">
        <f>SUM(C21:C74)</f>
        <v>10.5444378126464</v>
      </c>
      <c r="D20" s="84">
        <f aca="true" t="shared" si="2" ref="D20:V20">SUM(D63:D74)</f>
        <v>0</v>
      </c>
      <c r="E20" s="84">
        <f t="shared" si="2"/>
        <v>0</v>
      </c>
      <c r="F20" s="84">
        <f t="shared" si="2"/>
        <v>0</v>
      </c>
      <c r="G20" s="84">
        <f t="shared" si="2"/>
        <v>0</v>
      </c>
      <c r="H20" s="84">
        <f t="shared" si="2"/>
        <v>7.792994999</v>
      </c>
      <c r="I20" s="84">
        <f t="shared" si="2"/>
        <v>0</v>
      </c>
      <c r="J20" s="84">
        <f t="shared" si="2"/>
        <v>1.5585989998</v>
      </c>
      <c r="K20" s="84">
        <f t="shared" si="2"/>
        <v>6.2343959992</v>
      </c>
      <c r="L20" s="84">
        <f t="shared" si="2"/>
        <v>0</v>
      </c>
      <c r="M20" s="84">
        <f t="shared" si="2"/>
        <v>7.792994999</v>
      </c>
      <c r="N20" s="84">
        <f t="shared" si="2"/>
        <v>0</v>
      </c>
      <c r="O20" s="84">
        <f t="shared" si="2"/>
        <v>1.5585989998</v>
      </c>
      <c r="P20" s="84">
        <f t="shared" si="2"/>
        <v>6.2343959992</v>
      </c>
      <c r="Q20" s="84">
        <f t="shared" si="2"/>
        <v>0</v>
      </c>
      <c r="R20" s="84">
        <f t="shared" si="2"/>
        <v>7.792994999</v>
      </c>
      <c r="S20" s="84">
        <f t="shared" si="2"/>
        <v>0</v>
      </c>
      <c r="T20" s="84">
        <f t="shared" si="2"/>
        <v>1.5585989998</v>
      </c>
      <c r="U20" s="84">
        <f t="shared" si="2"/>
        <v>6.2343959992</v>
      </c>
      <c r="V20" s="84">
        <f t="shared" si="2"/>
        <v>0</v>
      </c>
      <c r="W20" s="83"/>
      <c r="X20" s="83"/>
      <c r="Y20" s="83">
        <f>SUM(Y63:Y74)</f>
        <v>0</v>
      </c>
      <c r="Z20" s="83">
        <f>SUM(Z63:Z74)</f>
        <v>0</v>
      </c>
      <c r="AA20" s="83"/>
      <c r="AB20" s="83"/>
      <c r="AC20" s="83">
        <f>SUM(AC63:AC74)</f>
        <v>0</v>
      </c>
      <c r="AD20" s="83">
        <f>SUM(AD63:AD74)</f>
        <v>0</v>
      </c>
      <c r="AE20" s="83"/>
      <c r="AF20" s="83"/>
      <c r="AG20" s="83">
        <f>SUM(AG63:AG74)</f>
        <v>0</v>
      </c>
      <c r="AH20" s="83">
        <f>SUM(AH63:AH74)</f>
        <v>0</v>
      </c>
      <c r="AI20" s="83">
        <f>SUM(AI63:AI74)</f>
        <v>0</v>
      </c>
      <c r="AJ20" s="83">
        <f>SUM(AJ63:AJ74)</f>
        <v>0</v>
      </c>
    </row>
    <row r="21" spans="1:36" s="79" customFormat="1" ht="30">
      <c r="A21" s="87" t="s">
        <v>38</v>
      </c>
      <c r="B21" s="35" t="s">
        <v>51</v>
      </c>
      <c r="C21" s="88">
        <v>0.099417637536</v>
      </c>
      <c r="D21" s="89">
        <v>0</v>
      </c>
      <c r="E21" s="90">
        <f aca="true" t="shared" si="3" ref="E21:E61">C21*0.2</f>
        <v>0.019883527507200002</v>
      </c>
      <c r="F21" s="90">
        <f aca="true" t="shared" si="4" ref="F21:F61">C21*0.8</f>
        <v>0.07953411002880001</v>
      </c>
      <c r="G21" s="90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88">
        <f aca="true" t="shared" si="5" ref="M21:M52">H21-C21</f>
        <v>-0.099417637536</v>
      </c>
      <c r="N21" s="88">
        <f aca="true" t="shared" si="6" ref="N21:N52">I21-D21</f>
        <v>0</v>
      </c>
      <c r="O21" s="88">
        <f aca="true" t="shared" si="7" ref="O21:O52">J21-E21</f>
        <v>-0.019883527507200002</v>
      </c>
      <c r="P21" s="88">
        <f aca="true" t="shared" si="8" ref="P21:P52">K21-F21</f>
        <v>-0.07953411002880001</v>
      </c>
      <c r="Q21" s="88">
        <f aca="true" t="shared" si="9" ref="Q21:Q52">L21-G21</f>
        <v>0</v>
      </c>
      <c r="R21" s="88">
        <f aca="true" t="shared" si="10" ref="R21:R52">H21</f>
        <v>0</v>
      </c>
      <c r="S21" s="88">
        <f aca="true" t="shared" si="11" ref="S21:S52">I21</f>
        <v>0</v>
      </c>
      <c r="T21" s="88">
        <f aca="true" t="shared" si="12" ref="T21:T52">J21</f>
        <v>0</v>
      </c>
      <c r="U21" s="88">
        <f aca="true" t="shared" si="13" ref="U21:U52">K21</f>
        <v>0</v>
      </c>
      <c r="V21" s="88">
        <f aca="true" t="shared" si="14" ref="V21:V52">L21</f>
        <v>0</v>
      </c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s="79" customFormat="1" ht="15">
      <c r="A22" s="87" t="s">
        <v>40</v>
      </c>
      <c r="B22" s="35" t="s">
        <v>53</v>
      </c>
      <c r="C22" s="88">
        <v>0.5049269796</v>
      </c>
      <c r="D22" s="89">
        <v>0</v>
      </c>
      <c r="E22" s="90">
        <f t="shared" si="3"/>
        <v>0.10098539592</v>
      </c>
      <c r="F22" s="90">
        <f t="shared" si="4"/>
        <v>0.40394158368</v>
      </c>
      <c r="G22" s="90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88">
        <f t="shared" si="5"/>
        <v>-0.5049269796</v>
      </c>
      <c r="N22" s="88">
        <f t="shared" si="6"/>
        <v>0</v>
      </c>
      <c r="O22" s="88">
        <f t="shared" si="7"/>
        <v>-0.10098539592</v>
      </c>
      <c r="P22" s="88">
        <f t="shared" si="8"/>
        <v>-0.40394158368</v>
      </c>
      <c r="Q22" s="88">
        <f t="shared" si="9"/>
        <v>0</v>
      </c>
      <c r="R22" s="88">
        <f t="shared" si="10"/>
        <v>0</v>
      </c>
      <c r="S22" s="88">
        <f t="shared" si="11"/>
        <v>0</v>
      </c>
      <c r="T22" s="88">
        <f t="shared" si="12"/>
        <v>0</v>
      </c>
      <c r="U22" s="88">
        <f t="shared" si="13"/>
        <v>0</v>
      </c>
      <c r="V22" s="88">
        <f t="shared" si="14"/>
        <v>0</v>
      </c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s="79" customFormat="1" ht="30">
      <c r="A23" s="87" t="s">
        <v>42</v>
      </c>
      <c r="B23" s="35" t="s">
        <v>55</v>
      </c>
      <c r="C23" s="88">
        <v>0.207227216064</v>
      </c>
      <c r="D23" s="89">
        <v>0</v>
      </c>
      <c r="E23" s="90">
        <f t="shared" si="3"/>
        <v>0.0414454432128</v>
      </c>
      <c r="F23" s="90">
        <f t="shared" si="4"/>
        <v>0.1657817728512</v>
      </c>
      <c r="G23" s="90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88">
        <f t="shared" si="5"/>
        <v>-0.207227216064</v>
      </c>
      <c r="N23" s="88">
        <f t="shared" si="6"/>
        <v>0</v>
      </c>
      <c r="O23" s="88">
        <f t="shared" si="7"/>
        <v>-0.0414454432128</v>
      </c>
      <c r="P23" s="88">
        <f t="shared" si="8"/>
        <v>-0.1657817728512</v>
      </c>
      <c r="Q23" s="88">
        <f t="shared" si="9"/>
        <v>0</v>
      </c>
      <c r="R23" s="88">
        <f t="shared" si="10"/>
        <v>0</v>
      </c>
      <c r="S23" s="88">
        <f t="shared" si="11"/>
        <v>0</v>
      </c>
      <c r="T23" s="88">
        <f t="shared" si="12"/>
        <v>0</v>
      </c>
      <c r="U23" s="88">
        <f t="shared" si="13"/>
        <v>0</v>
      </c>
      <c r="V23" s="88">
        <f t="shared" si="14"/>
        <v>0</v>
      </c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s="79" customFormat="1" ht="30">
      <c r="A24" s="87" t="s">
        <v>44</v>
      </c>
      <c r="B24" s="35" t="s">
        <v>57</v>
      </c>
      <c r="C24" s="88">
        <v>0.080065060752</v>
      </c>
      <c r="D24" s="89">
        <v>0</v>
      </c>
      <c r="E24" s="90">
        <f t="shared" si="3"/>
        <v>0.0160130121504</v>
      </c>
      <c r="F24" s="90">
        <f t="shared" si="4"/>
        <v>0.0640520486016</v>
      </c>
      <c r="G24" s="90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88">
        <f t="shared" si="5"/>
        <v>-0.080065060752</v>
      </c>
      <c r="N24" s="88">
        <f t="shared" si="6"/>
        <v>0</v>
      </c>
      <c r="O24" s="88">
        <f t="shared" si="7"/>
        <v>-0.0160130121504</v>
      </c>
      <c r="P24" s="88">
        <f t="shared" si="8"/>
        <v>-0.0640520486016</v>
      </c>
      <c r="Q24" s="88">
        <f t="shared" si="9"/>
        <v>0</v>
      </c>
      <c r="R24" s="88">
        <f t="shared" si="10"/>
        <v>0</v>
      </c>
      <c r="S24" s="88">
        <f t="shared" si="11"/>
        <v>0</v>
      </c>
      <c r="T24" s="88">
        <f t="shared" si="12"/>
        <v>0</v>
      </c>
      <c r="U24" s="88">
        <f t="shared" si="13"/>
        <v>0</v>
      </c>
      <c r="V24" s="88">
        <f t="shared" si="14"/>
        <v>0</v>
      </c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s="79" customFormat="1" ht="30">
      <c r="A25" s="87" t="s">
        <v>46</v>
      </c>
      <c r="B25" s="35" t="s">
        <v>59</v>
      </c>
      <c r="C25" s="88">
        <v>0.113033026944</v>
      </c>
      <c r="D25" s="89">
        <v>0</v>
      </c>
      <c r="E25" s="90">
        <f t="shared" si="3"/>
        <v>0.0226066053888</v>
      </c>
      <c r="F25" s="90">
        <f t="shared" si="4"/>
        <v>0.0904264215552</v>
      </c>
      <c r="G25" s="90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88">
        <f t="shared" si="5"/>
        <v>-0.113033026944</v>
      </c>
      <c r="N25" s="88">
        <f t="shared" si="6"/>
        <v>0</v>
      </c>
      <c r="O25" s="88">
        <f t="shared" si="7"/>
        <v>-0.0226066053888</v>
      </c>
      <c r="P25" s="88">
        <f t="shared" si="8"/>
        <v>-0.0904264215552</v>
      </c>
      <c r="Q25" s="88">
        <f t="shared" si="9"/>
        <v>0</v>
      </c>
      <c r="R25" s="88">
        <f t="shared" si="10"/>
        <v>0</v>
      </c>
      <c r="S25" s="88">
        <f t="shared" si="11"/>
        <v>0</v>
      </c>
      <c r="T25" s="88">
        <f t="shared" si="12"/>
        <v>0</v>
      </c>
      <c r="U25" s="88">
        <f t="shared" si="13"/>
        <v>0</v>
      </c>
      <c r="V25" s="88">
        <f t="shared" si="14"/>
        <v>0</v>
      </c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1:36" s="79" customFormat="1" ht="30">
      <c r="A26" s="87" t="s">
        <v>48</v>
      </c>
      <c r="B26" s="35" t="s">
        <v>61</v>
      </c>
      <c r="C26" s="88">
        <v>0.051806804016</v>
      </c>
      <c r="D26" s="89">
        <v>0</v>
      </c>
      <c r="E26" s="90">
        <f t="shared" si="3"/>
        <v>0.0103613608032</v>
      </c>
      <c r="F26" s="90">
        <f t="shared" si="4"/>
        <v>0.0414454432128</v>
      </c>
      <c r="G26" s="90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88">
        <f t="shared" si="5"/>
        <v>-0.051806804016</v>
      </c>
      <c r="N26" s="88">
        <f t="shared" si="6"/>
        <v>0</v>
      </c>
      <c r="O26" s="88">
        <f t="shared" si="7"/>
        <v>-0.0103613608032</v>
      </c>
      <c r="P26" s="88">
        <f t="shared" si="8"/>
        <v>-0.0414454432128</v>
      </c>
      <c r="Q26" s="88">
        <f t="shared" si="9"/>
        <v>0</v>
      </c>
      <c r="R26" s="88">
        <f t="shared" si="10"/>
        <v>0</v>
      </c>
      <c r="S26" s="88">
        <f t="shared" si="11"/>
        <v>0</v>
      </c>
      <c r="T26" s="88">
        <f t="shared" si="12"/>
        <v>0</v>
      </c>
      <c r="U26" s="88">
        <f t="shared" si="13"/>
        <v>0</v>
      </c>
      <c r="V26" s="88">
        <f t="shared" si="14"/>
        <v>0</v>
      </c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</row>
    <row r="27" spans="1:36" s="79" customFormat="1" ht="30">
      <c r="A27" s="87" t="s">
        <v>50</v>
      </c>
      <c r="B27" s="35" t="s">
        <v>63</v>
      </c>
      <c r="C27" s="88">
        <v>0.14129128368</v>
      </c>
      <c r="D27" s="89">
        <v>0</v>
      </c>
      <c r="E27" s="90">
        <f t="shared" si="3"/>
        <v>0.028258256736</v>
      </c>
      <c r="F27" s="90">
        <f t="shared" si="4"/>
        <v>0.113033026944</v>
      </c>
      <c r="G27" s="90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88">
        <f t="shared" si="5"/>
        <v>-0.14129128368</v>
      </c>
      <c r="N27" s="88">
        <f t="shared" si="6"/>
        <v>0</v>
      </c>
      <c r="O27" s="88">
        <f t="shared" si="7"/>
        <v>-0.028258256736</v>
      </c>
      <c r="P27" s="88">
        <f t="shared" si="8"/>
        <v>-0.113033026944</v>
      </c>
      <c r="Q27" s="88">
        <f t="shared" si="9"/>
        <v>0</v>
      </c>
      <c r="R27" s="88">
        <f t="shared" si="10"/>
        <v>0</v>
      </c>
      <c r="S27" s="88">
        <f t="shared" si="11"/>
        <v>0</v>
      </c>
      <c r="T27" s="88">
        <f t="shared" si="12"/>
        <v>0</v>
      </c>
      <c r="U27" s="88">
        <f t="shared" si="13"/>
        <v>0</v>
      </c>
      <c r="V27" s="88">
        <f t="shared" si="14"/>
        <v>0</v>
      </c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1:36" s="79" customFormat="1" ht="30">
      <c r="A28" s="87" t="s">
        <v>52</v>
      </c>
      <c r="B28" s="35" t="s">
        <v>65</v>
      </c>
      <c r="C28" s="88">
        <v>0.11774273639999999</v>
      </c>
      <c r="D28" s="89">
        <v>0</v>
      </c>
      <c r="E28" s="90">
        <f t="shared" si="3"/>
        <v>0.02354854728</v>
      </c>
      <c r="F28" s="90">
        <f t="shared" si="4"/>
        <v>0.09419418912</v>
      </c>
      <c r="G28" s="90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88">
        <f t="shared" si="5"/>
        <v>-0.11774273639999999</v>
      </c>
      <c r="N28" s="88">
        <f t="shared" si="6"/>
        <v>0</v>
      </c>
      <c r="O28" s="88">
        <f t="shared" si="7"/>
        <v>-0.02354854728</v>
      </c>
      <c r="P28" s="88">
        <f t="shared" si="8"/>
        <v>-0.09419418912</v>
      </c>
      <c r="Q28" s="88">
        <f t="shared" si="9"/>
        <v>0</v>
      </c>
      <c r="R28" s="88">
        <f t="shared" si="10"/>
        <v>0</v>
      </c>
      <c r="S28" s="88">
        <f t="shared" si="11"/>
        <v>0</v>
      </c>
      <c r="T28" s="88">
        <f t="shared" si="12"/>
        <v>0</v>
      </c>
      <c r="U28" s="88">
        <f t="shared" si="13"/>
        <v>0</v>
      </c>
      <c r="V28" s="88">
        <f t="shared" si="14"/>
        <v>0</v>
      </c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</row>
    <row r="29" spans="1:36" s="79" customFormat="1" ht="30">
      <c r="A29" s="87" t="s">
        <v>54</v>
      </c>
      <c r="B29" s="35" t="s">
        <v>67</v>
      </c>
      <c r="C29" s="88">
        <v>0.0395615594304</v>
      </c>
      <c r="D29" s="89">
        <v>0</v>
      </c>
      <c r="E29" s="90">
        <f t="shared" si="3"/>
        <v>0.007912311886080001</v>
      </c>
      <c r="F29" s="90">
        <f t="shared" si="4"/>
        <v>0.031649247544320004</v>
      </c>
      <c r="G29" s="90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88">
        <f t="shared" si="5"/>
        <v>-0.0395615594304</v>
      </c>
      <c r="N29" s="88">
        <f t="shared" si="6"/>
        <v>0</v>
      </c>
      <c r="O29" s="88">
        <f t="shared" si="7"/>
        <v>-0.007912311886080001</v>
      </c>
      <c r="P29" s="88">
        <f t="shared" si="8"/>
        <v>-0.031649247544320004</v>
      </c>
      <c r="Q29" s="88">
        <f t="shared" si="9"/>
        <v>0</v>
      </c>
      <c r="R29" s="88">
        <f t="shared" si="10"/>
        <v>0</v>
      </c>
      <c r="S29" s="88">
        <f t="shared" si="11"/>
        <v>0</v>
      </c>
      <c r="T29" s="88">
        <f t="shared" si="12"/>
        <v>0</v>
      </c>
      <c r="U29" s="88">
        <f t="shared" si="13"/>
        <v>0</v>
      </c>
      <c r="V29" s="88">
        <f t="shared" si="14"/>
        <v>0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</row>
    <row r="30" spans="1:36" s="79" customFormat="1" ht="30">
      <c r="A30" s="87" t="s">
        <v>56</v>
      </c>
      <c r="B30" s="35" t="s">
        <v>69</v>
      </c>
      <c r="C30" s="88">
        <v>0.023548547280000002</v>
      </c>
      <c r="D30" s="89">
        <v>0</v>
      </c>
      <c r="E30" s="90">
        <f t="shared" si="3"/>
        <v>0.004709709456000001</v>
      </c>
      <c r="F30" s="90">
        <f t="shared" si="4"/>
        <v>0.018838837824000004</v>
      </c>
      <c r="G30" s="90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88">
        <f t="shared" si="5"/>
        <v>-0.023548547280000002</v>
      </c>
      <c r="N30" s="88">
        <f t="shared" si="6"/>
        <v>0</v>
      </c>
      <c r="O30" s="88">
        <f t="shared" si="7"/>
        <v>-0.004709709456000001</v>
      </c>
      <c r="P30" s="88">
        <f t="shared" si="8"/>
        <v>-0.018838837824000004</v>
      </c>
      <c r="Q30" s="88">
        <f t="shared" si="9"/>
        <v>0</v>
      </c>
      <c r="R30" s="88">
        <f t="shared" si="10"/>
        <v>0</v>
      </c>
      <c r="S30" s="88">
        <f t="shared" si="11"/>
        <v>0</v>
      </c>
      <c r="T30" s="88">
        <f t="shared" si="12"/>
        <v>0</v>
      </c>
      <c r="U30" s="88">
        <f t="shared" si="13"/>
        <v>0</v>
      </c>
      <c r="V30" s="88">
        <f t="shared" si="14"/>
        <v>0</v>
      </c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  <row r="31" spans="1:36" s="79" customFormat="1" ht="30">
      <c r="A31" s="87" t="s">
        <v>58</v>
      </c>
      <c r="B31" s="35" t="s">
        <v>71</v>
      </c>
      <c r="C31" s="88">
        <v>0.131871864768</v>
      </c>
      <c r="D31" s="89">
        <v>0</v>
      </c>
      <c r="E31" s="90">
        <f t="shared" si="3"/>
        <v>0.0263743729536</v>
      </c>
      <c r="F31" s="90">
        <f t="shared" si="4"/>
        <v>0.1054974918144</v>
      </c>
      <c r="G31" s="90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88">
        <f t="shared" si="5"/>
        <v>-0.131871864768</v>
      </c>
      <c r="N31" s="88">
        <f t="shared" si="6"/>
        <v>0</v>
      </c>
      <c r="O31" s="88">
        <f t="shared" si="7"/>
        <v>-0.0263743729536</v>
      </c>
      <c r="P31" s="88">
        <f t="shared" si="8"/>
        <v>-0.1054974918144</v>
      </c>
      <c r="Q31" s="88">
        <f t="shared" si="9"/>
        <v>0</v>
      </c>
      <c r="R31" s="88">
        <f t="shared" si="10"/>
        <v>0</v>
      </c>
      <c r="S31" s="88">
        <f t="shared" si="11"/>
        <v>0</v>
      </c>
      <c r="T31" s="88">
        <f t="shared" si="12"/>
        <v>0</v>
      </c>
      <c r="U31" s="88">
        <f t="shared" si="13"/>
        <v>0</v>
      </c>
      <c r="V31" s="88">
        <f t="shared" si="14"/>
        <v>0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</row>
    <row r="32" spans="1:36" s="79" customFormat="1" ht="30">
      <c r="A32" s="87" t="s">
        <v>60</v>
      </c>
      <c r="B32" s="35" t="s">
        <v>73</v>
      </c>
      <c r="C32" s="88">
        <v>0.292001986272</v>
      </c>
      <c r="D32" s="89">
        <v>0</v>
      </c>
      <c r="E32" s="90">
        <f t="shared" si="3"/>
        <v>0.05840039725440001</v>
      </c>
      <c r="F32" s="90">
        <f t="shared" si="4"/>
        <v>0.23360158901760003</v>
      </c>
      <c r="G32" s="90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88">
        <f t="shared" si="5"/>
        <v>-0.292001986272</v>
      </c>
      <c r="N32" s="88">
        <f t="shared" si="6"/>
        <v>0</v>
      </c>
      <c r="O32" s="88">
        <f t="shared" si="7"/>
        <v>-0.05840039725440001</v>
      </c>
      <c r="P32" s="88">
        <f t="shared" si="8"/>
        <v>-0.23360158901760003</v>
      </c>
      <c r="Q32" s="88">
        <f t="shared" si="9"/>
        <v>0</v>
      </c>
      <c r="R32" s="88">
        <f t="shared" si="10"/>
        <v>0</v>
      </c>
      <c r="S32" s="88">
        <f t="shared" si="11"/>
        <v>0</v>
      </c>
      <c r="T32" s="88">
        <f t="shared" si="12"/>
        <v>0</v>
      </c>
      <c r="U32" s="88">
        <f t="shared" si="13"/>
        <v>0</v>
      </c>
      <c r="V32" s="88">
        <f t="shared" si="14"/>
        <v>0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</row>
    <row r="33" spans="1:36" s="79" customFormat="1" ht="30">
      <c r="A33" s="87" t="s">
        <v>62</v>
      </c>
      <c r="B33" s="35" t="s">
        <v>75</v>
      </c>
      <c r="C33" s="88">
        <v>0.09419418912000001</v>
      </c>
      <c r="D33" s="89">
        <v>0</v>
      </c>
      <c r="E33" s="90">
        <f t="shared" si="3"/>
        <v>0.018838837824000004</v>
      </c>
      <c r="F33" s="90">
        <f t="shared" si="4"/>
        <v>0.07535535129600002</v>
      </c>
      <c r="G33" s="90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88">
        <f t="shared" si="5"/>
        <v>-0.09419418912000001</v>
      </c>
      <c r="N33" s="88">
        <f t="shared" si="6"/>
        <v>0</v>
      </c>
      <c r="O33" s="88">
        <f t="shared" si="7"/>
        <v>-0.018838837824000004</v>
      </c>
      <c r="P33" s="88">
        <f t="shared" si="8"/>
        <v>-0.07535535129600002</v>
      </c>
      <c r="Q33" s="88">
        <f t="shared" si="9"/>
        <v>0</v>
      </c>
      <c r="R33" s="88">
        <f t="shared" si="10"/>
        <v>0</v>
      </c>
      <c r="S33" s="88">
        <f t="shared" si="11"/>
        <v>0</v>
      </c>
      <c r="T33" s="88">
        <f t="shared" si="12"/>
        <v>0</v>
      </c>
      <c r="U33" s="88">
        <f t="shared" si="13"/>
        <v>0</v>
      </c>
      <c r="V33" s="88">
        <f t="shared" si="14"/>
        <v>0</v>
      </c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s="79" customFormat="1" ht="30">
      <c r="A34" s="87" t="s">
        <v>64</v>
      </c>
      <c r="B34" s="35" t="s">
        <v>77</v>
      </c>
      <c r="C34" s="88">
        <v>0.131871864768</v>
      </c>
      <c r="D34" s="89">
        <v>0</v>
      </c>
      <c r="E34" s="90">
        <f t="shared" si="3"/>
        <v>0.0263743729536</v>
      </c>
      <c r="F34" s="90">
        <f t="shared" si="4"/>
        <v>0.1054974918144</v>
      </c>
      <c r="G34" s="90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88">
        <f t="shared" si="5"/>
        <v>-0.131871864768</v>
      </c>
      <c r="N34" s="88">
        <f t="shared" si="6"/>
        <v>0</v>
      </c>
      <c r="O34" s="88">
        <f t="shared" si="7"/>
        <v>-0.0263743729536</v>
      </c>
      <c r="P34" s="88">
        <f t="shared" si="8"/>
        <v>-0.1054974918144</v>
      </c>
      <c r="Q34" s="88">
        <f t="shared" si="9"/>
        <v>0</v>
      </c>
      <c r="R34" s="88">
        <f t="shared" si="10"/>
        <v>0</v>
      </c>
      <c r="S34" s="88">
        <f t="shared" si="11"/>
        <v>0</v>
      </c>
      <c r="T34" s="88">
        <f t="shared" si="12"/>
        <v>0</v>
      </c>
      <c r="U34" s="88">
        <f t="shared" si="13"/>
        <v>0</v>
      </c>
      <c r="V34" s="88">
        <f t="shared" si="14"/>
        <v>0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s="79" customFormat="1" ht="30">
      <c r="A35" s="87" t="s">
        <v>66</v>
      </c>
      <c r="B35" s="35" t="s">
        <v>79</v>
      </c>
      <c r="C35" s="88">
        <v>0.18838837824000002</v>
      </c>
      <c r="D35" s="89">
        <v>0</v>
      </c>
      <c r="E35" s="90">
        <f t="shared" si="3"/>
        <v>0.03767767564800001</v>
      </c>
      <c r="F35" s="90">
        <f t="shared" si="4"/>
        <v>0.15071070259200003</v>
      </c>
      <c r="G35" s="90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88">
        <f t="shared" si="5"/>
        <v>-0.18838837824000002</v>
      </c>
      <c r="N35" s="88">
        <f t="shared" si="6"/>
        <v>0</v>
      </c>
      <c r="O35" s="88">
        <f t="shared" si="7"/>
        <v>-0.03767767564800001</v>
      </c>
      <c r="P35" s="88">
        <f t="shared" si="8"/>
        <v>-0.15071070259200003</v>
      </c>
      <c r="Q35" s="88">
        <f t="shared" si="9"/>
        <v>0</v>
      </c>
      <c r="R35" s="88">
        <f t="shared" si="10"/>
        <v>0</v>
      </c>
      <c r="S35" s="88">
        <f t="shared" si="11"/>
        <v>0</v>
      </c>
      <c r="T35" s="88">
        <f t="shared" si="12"/>
        <v>0</v>
      </c>
      <c r="U35" s="88">
        <f t="shared" si="13"/>
        <v>0</v>
      </c>
      <c r="V35" s="88">
        <f t="shared" si="14"/>
        <v>0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s="79" customFormat="1" ht="30">
      <c r="A36" s="87" t="s">
        <v>68</v>
      </c>
      <c r="B36" s="35" t="s">
        <v>81</v>
      </c>
      <c r="C36" s="88">
        <v>0.056516513472</v>
      </c>
      <c r="D36" s="89">
        <v>0</v>
      </c>
      <c r="E36" s="90">
        <f t="shared" si="3"/>
        <v>0.0113033026944</v>
      </c>
      <c r="F36" s="90">
        <f t="shared" si="4"/>
        <v>0.0452132107776</v>
      </c>
      <c r="G36" s="90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88">
        <f t="shared" si="5"/>
        <v>-0.056516513472</v>
      </c>
      <c r="N36" s="88">
        <f t="shared" si="6"/>
        <v>0</v>
      </c>
      <c r="O36" s="88">
        <f t="shared" si="7"/>
        <v>-0.0113033026944</v>
      </c>
      <c r="P36" s="88">
        <f t="shared" si="8"/>
        <v>-0.0452132107776</v>
      </c>
      <c r="Q36" s="88">
        <f t="shared" si="9"/>
        <v>0</v>
      </c>
      <c r="R36" s="88">
        <f t="shared" si="10"/>
        <v>0</v>
      </c>
      <c r="S36" s="88">
        <f t="shared" si="11"/>
        <v>0</v>
      </c>
      <c r="T36" s="88">
        <f t="shared" si="12"/>
        <v>0</v>
      </c>
      <c r="U36" s="88">
        <f t="shared" si="13"/>
        <v>0</v>
      </c>
      <c r="V36" s="88">
        <f t="shared" si="14"/>
        <v>0</v>
      </c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36" s="79" customFormat="1" ht="30">
      <c r="A37" s="87" t="s">
        <v>70</v>
      </c>
      <c r="B37" s="35" t="s">
        <v>83</v>
      </c>
      <c r="C37" s="88">
        <v>0.07535535129599999</v>
      </c>
      <c r="D37" s="89">
        <v>0</v>
      </c>
      <c r="E37" s="90">
        <f t="shared" si="3"/>
        <v>0.015071070259199999</v>
      </c>
      <c r="F37" s="90">
        <f t="shared" si="4"/>
        <v>0.060284281036799996</v>
      </c>
      <c r="G37" s="90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88">
        <f t="shared" si="5"/>
        <v>-0.07535535129599999</v>
      </c>
      <c r="N37" s="88">
        <f t="shared" si="6"/>
        <v>0</v>
      </c>
      <c r="O37" s="88">
        <f t="shared" si="7"/>
        <v>-0.015071070259199999</v>
      </c>
      <c r="P37" s="88">
        <f t="shared" si="8"/>
        <v>-0.060284281036799996</v>
      </c>
      <c r="Q37" s="88">
        <f t="shared" si="9"/>
        <v>0</v>
      </c>
      <c r="R37" s="88">
        <f t="shared" si="10"/>
        <v>0</v>
      </c>
      <c r="S37" s="88">
        <f t="shared" si="11"/>
        <v>0</v>
      </c>
      <c r="T37" s="88">
        <f t="shared" si="12"/>
        <v>0</v>
      </c>
      <c r="U37" s="88">
        <f t="shared" si="13"/>
        <v>0</v>
      </c>
      <c r="V37" s="88">
        <f t="shared" si="14"/>
        <v>0</v>
      </c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36" s="79" customFormat="1" ht="30">
      <c r="A38" s="87" t="s">
        <v>72</v>
      </c>
      <c r="B38" s="35" t="s">
        <v>85</v>
      </c>
      <c r="C38" s="88">
        <v>0.207227216064</v>
      </c>
      <c r="D38" s="89">
        <v>0</v>
      </c>
      <c r="E38" s="90">
        <f t="shared" si="3"/>
        <v>0.0414454432128</v>
      </c>
      <c r="F38" s="90">
        <f t="shared" si="4"/>
        <v>0.1657817728512</v>
      </c>
      <c r="G38" s="90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88">
        <f t="shared" si="5"/>
        <v>-0.207227216064</v>
      </c>
      <c r="N38" s="88">
        <f t="shared" si="6"/>
        <v>0</v>
      </c>
      <c r="O38" s="88">
        <f t="shared" si="7"/>
        <v>-0.0414454432128</v>
      </c>
      <c r="P38" s="88">
        <f t="shared" si="8"/>
        <v>-0.1657817728512</v>
      </c>
      <c r="Q38" s="88">
        <f t="shared" si="9"/>
        <v>0</v>
      </c>
      <c r="R38" s="88">
        <f t="shared" si="10"/>
        <v>0</v>
      </c>
      <c r="S38" s="88">
        <f t="shared" si="11"/>
        <v>0</v>
      </c>
      <c r="T38" s="88">
        <f t="shared" si="12"/>
        <v>0</v>
      </c>
      <c r="U38" s="88">
        <f t="shared" si="13"/>
        <v>0</v>
      </c>
      <c r="V38" s="88">
        <f t="shared" si="14"/>
        <v>0</v>
      </c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</row>
    <row r="39" spans="1:36" s="79" customFormat="1" ht="30">
      <c r="A39" s="87" t="s">
        <v>74</v>
      </c>
      <c r="B39" s="35" t="s">
        <v>87</v>
      </c>
      <c r="C39" s="88">
        <v>0.037677675647999995</v>
      </c>
      <c r="D39" s="89">
        <v>0</v>
      </c>
      <c r="E39" s="90">
        <f t="shared" si="3"/>
        <v>0.0075355351295999995</v>
      </c>
      <c r="F39" s="90">
        <f t="shared" si="4"/>
        <v>0.030142140518399998</v>
      </c>
      <c r="G39" s="90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88">
        <f t="shared" si="5"/>
        <v>-0.037677675647999995</v>
      </c>
      <c r="N39" s="88">
        <f t="shared" si="6"/>
        <v>0</v>
      </c>
      <c r="O39" s="88">
        <f t="shared" si="7"/>
        <v>-0.0075355351295999995</v>
      </c>
      <c r="P39" s="88">
        <f t="shared" si="8"/>
        <v>-0.030142140518399998</v>
      </c>
      <c r="Q39" s="88">
        <f t="shared" si="9"/>
        <v>0</v>
      </c>
      <c r="R39" s="88">
        <f t="shared" si="10"/>
        <v>0</v>
      </c>
      <c r="S39" s="88">
        <f t="shared" si="11"/>
        <v>0</v>
      </c>
      <c r="T39" s="88">
        <f t="shared" si="12"/>
        <v>0</v>
      </c>
      <c r="U39" s="88">
        <f t="shared" si="13"/>
        <v>0</v>
      </c>
      <c r="V39" s="88">
        <f t="shared" si="14"/>
        <v>0</v>
      </c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</row>
    <row r="40" spans="1:36" s="79" customFormat="1" ht="30">
      <c r="A40" s="87" t="s">
        <v>76</v>
      </c>
      <c r="B40" s="35" t="s">
        <v>89</v>
      </c>
      <c r="C40" s="88">
        <v>0.051806804016</v>
      </c>
      <c r="D40" s="89">
        <v>0</v>
      </c>
      <c r="E40" s="90">
        <f t="shared" si="3"/>
        <v>0.0103613608032</v>
      </c>
      <c r="F40" s="90">
        <f t="shared" si="4"/>
        <v>0.0414454432128</v>
      </c>
      <c r="G40" s="90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88">
        <f t="shared" si="5"/>
        <v>-0.051806804016</v>
      </c>
      <c r="N40" s="88">
        <f t="shared" si="6"/>
        <v>0</v>
      </c>
      <c r="O40" s="88">
        <f t="shared" si="7"/>
        <v>-0.0103613608032</v>
      </c>
      <c r="P40" s="88">
        <f t="shared" si="8"/>
        <v>-0.0414454432128</v>
      </c>
      <c r="Q40" s="88">
        <f t="shared" si="9"/>
        <v>0</v>
      </c>
      <c r="R40" s="88">
        <f t="shared" si="10"/>
        <v>0</v>
      </c>
      <c r="S40" s="88">
        <f t="shared" si="11"/>
        <v>0</v>
      </c>
      <c r="T40" s="88">
        <f t="shared" si="12"/>
        <v>0</v>
      </c>
      <c r="U40" s="88">
        <f t="shared" si="13"/>
        <v>0</v>
      </c>
      <c r="V40" s="88">
        <f t="shared" si="14"/>
        <v>0</v>
      </c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</row>
    <row r="41" spans="1:36" s="79" customFormat="1" ht="30">
      <c r="A41" s="87" t="s">
        <v>78</v>
      </c>
      <c r="B41" s="35" t="s">
        <v>91</v>
      </c>
      <c r="C41" s="88">
        <v>0.15071070259199998</v>
      </c>
      <c r="D41" s="89">
        <v>0</v>
      </c>
      <c r="E41" s="90">
        <f t="shared" si="3"/>
        <v>0.030142140518399998</v>
      </c>
      <c r="F41" s="90">
        <f t="shared" si="4"/>
        <v>0.12056856207359999</v>
      </c>
      <c r="G41" s="90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88">
        <f t="shared" si="5"/>
        <v>-0.15071070259199998</v>
      </c>
      <c r="N41" s="88">
        <f t="shared" si="6"/>
        <v>0</v>
      </c>
      <c r="O41" s="88">
        <f t="shared" si="7"/>
        <v>-0.030142140518399998</v>
      </c>
      <c r="P41" s="88">
        <f t="shared" si="8"/>
        <v>-0.12056856207359999</v>
      </c>
      <c r="Q41" s="88">
        <f t="shared" si="9"/>
        <v>0</v>
      </c>
      <c r="R41" s="88">
        <f t="shared" si="10"/>
        <v>0</v>
      </c>
      <c r="S41" s="88">
        <f t="shared" si="11"/>
        <v>0</v>
      </c>
      <c r="T41" s="88">
        <f t="shared" si="12"/>
        <v>0</v>
      </c>
      <c r="U41" s="88">
        <f t="shared" si="13"/>
        <v>0</v>
      </c>
      <c r="V41" s="88">
        <f t="shared" si="14"/>
        <v>0</v>
      </c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</row>
    <row r="42" spans="1:36" s="79" customFormat="1" ht="30">
      <c r="A42" s="87" t="s">
        <v>80</v>
      </c>
      <c r="B42" s="35" t="s">
        <v>93</v>
      </c>
      <c r="C42" s="88">
        <v>0.122452445856</v>
      </c>
      <c r="D42" s="89">
        <v>0</v>
      </c>
      <c r="E42" s="90">
        <f t="shared" si="3"/>
        <v>0.024490489171200003</v>
      </c>
      <c r="F42" s="90">
        <f t="shared" si="4"/>
        <v>0.09796195668480001</v>
      </c>
      <c r="G42" s="90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88">
        <f t="shared" si="5"/>
        <v>-0.122452445856</v>
      </c>
      <c r="N42" s="88">
        <f t="shared" si="6"/>
        <v>0</v>
      </c>
      <c r="O42" s="88">
        <f t="shared" si="7"/>
        <v>-0.024490489171200003</v>
      </c>
      <c r="P42" s="88">
        <f t="shared" si="8"/>
        <v>-0.09796195668480001</v>
      </c>
      <c r="Q42" s="88">
        <f t="shared" si="9"/>
        <v>0</v>
      </c>
      <c r="R42" s="88">
        <f t="shared" si="10"/>
        <v>0</v>
      </c>
      <c r="S42" s="88">
        <f t="shared" si="11"/>
        <v>0</v>
      </c>
      <c r="T42" s="88">
        <f t="shared" si="12"/>
        <v>0</v>
      </c>
      <c r="U42" s="88">
        <f t="shared" si="13"/>
        <v>0</v>
      </c>
      <c r="V42" s="88">
        <f t="shared" si="14"/>
        <v>0</v>
      </c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</row>
    <row r="43" spans="1:36" s="79" customFormat="1" ht="30">
      <c r="A43" s="87" t="s">
        <v>82</v>
      </c>
      <c r="B43" s="35" t="s">
        <v>95</v>
      </c>
      <c r="C43" s="88">
        <v>0.146000993136</v>
      </c>
      <c r="D43" s="89">
        <v>0</v>
      </c>
      <c r="E43" s="90">
        <f t="shared" si="3"/>
        <v>0.029200198627200004</v>
      </c>
      <c r="F43" s="90">
        <f t="shared" si="4"/>
        <v>0.11680079450880002</v>
      </c>
      <c r="G43" s="90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88">
        <f t="shared" si="5"/>
        <v>-0.146000993136</v>
      </c>
      <c r="N43" s="88">
        <f t="shared" si="6"/>
        <v>0</v>
      </c>
      <c r="O43" s="88">
        <f t="shared" si="7"/>
        <v>-0.029200198627200004</v>
      </c>
      <c r="P43" s="88">
        <f t="shared" si="8"/>
        <v>-0.11680079450880002</v>
      </c>
      <c r="Q43" s="88">
        <f t="shared" si="9"/>
        <v>0</v>
      </c>
      <c r="R43" s="88">
        <f t="shared" si="10"/>
        <v>0</v>
      </c>
      <c r="S43" s="88">
        <f t="shared" si="11"/>
        <v>0</v>
      </c>
      <c r="T43" s="88">
        <f t="shared" si="12"/>
        <v>0</v>
      </c>
      <c r="U43" s="88">
        <f t="shared" si="13"/>
        <v>0</v>
      </c>
      <c r="V43" s="88">
        <f t="shared" si="14"/>
        <v>0</v>
      </c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</row>
    <row r="44" spans="1:36" s="79" customFormat="1" ht="30">
      <c r="A44" s="87" t="s">
        <v>84</v>
      </c>
      <c r="B44" s="35" t="s">
        <v>97</v>
      </c>
      <c r="C44" s="88">
        <v>0.273163148448</v>
      </c>
      <c r="D44" s="89">
        <v>0</v>
      </c>
      <c r="E44" s="90">
        <f t="shared" si="3"/>
        <v>0.054632629689600004</v>
      </c>
      <c r="F44" s="90">
        <f t="shared" si="4"/>
        <v>0.21853051875840002</v>
      </c>
      <c r="G44" s="90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88">
        <f t="shared" si="5"/>
        <v>-0.273163148448</v>
      </c>
      <c r="N44" s="88">
        <f t="shared" si="6"/>
        <v>0</v>
      </c>
      <c r="O44" s="88">
        <f t="shared" si="7"/>
        <v>-0.054632629689600004</v>
      </c>
      <c r="P44" s="88">
        <f t="shared" si="8"/>
        <v>-0.21853051875840002</v>
      </c>
      <c r="Q44" s="88">
        <f t="shared" si="9"/>
        <v>0</v>
      </c>
      <c r="R44" s="88">
        <f t="shared" si="10"/>
        <v>0</v>
      </c>
      <c r="S44" s="88">
        <f t="shared" si="11"/>
        <v>0</v>
      </c>
      <c r="T44" s="88">
        <f t="shared" si="12"/>
        <v>0</v>
      </c>
      <c r="U44" s="88">
        <f t="shared" si="13"/>
        <v>0</v>
      </c>
      <c r="V44" s="88">
        <f t="shared" si="14"/>
        <v>0</v>
      </c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s="79" customFormat="1" ht="30">
      <c r="A45" s="87" t="s">
        <v>86</v>
      </c>
      <c r="B45" s="35" t="s">
        <v>99</v>
      </c>
      <c r="C45" s="88">
        <v>0.32967966192</v>
      </c>
      <c r="D45" s="89">
        <v>0</v>
      </c>
      <c r="E45" s="90">
        <f t="shared" si="3"/>
        <v>0.065935932384</v>
      </c>
      <c r="F45" s="90">
        <f t="shared" si="4"/>
        <v>0.263743729536</v>
      </c>
      <c r="G45" s="90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88">
        <f t="shared" si="5"/>
        <v>-0.32967966192</v>
      </c>
      <c r="N45" s="88">
        <f t="shared" si="6"/>
        <v>0</v>
      </c>
      <c r="O45" s="88">
        <f t="shared" si="7"/>
        <v>-0.065935932384</v>
      </c>
      <c r="P45" s="88">
        <f t="shared" si="8"/>
        <v>-0.263743729536</v>
      </c>
      <c r="Q45" s="88">
        <f t="shared" si="9"/>
        <v>0</v>
      </c>
      <c r="R45" s="88">
        <f t="shared" si="10"/>
        <v>0</v>
      </c>
      <c r="S45" s="88">
        <f t="shared" si="11"/>
        <v>0</v>
      </c>
      <c r="T45" s="88">
        <f t="shared" si="12"/>
        <v>0</v>
      </c>
      <c r="U45" s="88">
        <f t="shared" si="13"/>
        <v>0</v>
      </c>
      <c r="V45" s="88">
        <f t="shared" si="14"/>
        <v>0</v>
      </c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</row>
    <row r="46" spans="1:36" s="79" customFormat="1" ht="30">
      <c r="A46" s="87" t="s">
        <v>88</v>
      </c>
      <c r="B46" s="35" t="s">
        <v>101</v>
      </c>
      <c r="C46" s="88">
        <v>0.07064564184</v>
      </c>
      <c r="D46" s="89">
        <v>0</v>
      </c>
      <c r="E46" s="90">
        <f t="shared" si="3"/>
        <v>0.014129128368</v>
      </c>
      <c r="F46" s="90">
        <f t="shared" si="4"/>
        <v>0.056516513472</v>
      </c>
      <c r="G46" s="90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88">
        <f t="shared" si="5"/>
        <v>-0.07064564184</v>
      </c>
      <c r="N46" s="88">
        <f t="shared" si="6"/>
        <v>0</v>
      </c>
      <c r="O46" s="88">
        <f t="shared" si="7"/>
        <v>-0.014129128368</v>
      </c>
      <c r="P46" s="88">
        <f t="shared" si="8"/>
        <v>-0.056516513472</v>
      </c>
      <c r="Q46" s="88">
        <f t="shared" si="9"/>
        <v>0</v>
      </c>
      <c r="R46" s="88">
        <f t="shared" si="10"/>
        <v>0</v>
      </c>
      <c r="S46" s="88">
        <f t="shared" si="11"/>
        <v>0</v>
      </c>
      <c r="T46" s="88">
        <f t="shared" si="12"/>
        <v>0</v>
      </c>
      <c r="U46" s="88">
        <f t="shared" si="13"/>
        <v>0</v>
      </c>
      <c r="V46" s="88">
        <f t="shared" si="14"/>
        <v>0</v>
      </c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</row>
    <row r="47" spans="1:36" s="79" customFormat="1" ht="30">
      <c r="A47" s="87" t="s">
        <v>90</v>
      </c>
      <c r="B47" s="35" t="s">
        <v>103</v>
      </c>
      <c r="C47" s="88">
        <v>0.103613608032</v>
      </c>
      <c r="D47" s="89">
        <v>0</v>
      </c>
      <c r="E47" s="90">
        <f t="shared" si="3"/>
        <v>0.0207227216064</v>
      </c>
      <c r="F47" s="90">
        <f t="shared" si="4"/>
        <v>0.0828908864256</v>
      </c>
      <c r="G47" s="90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88">
        <f t="shared" si="5"/>
        <v>-0.103613608032</v>
      </c>
      <c r="N47" s="88">
        <f t="shared" si="6"/>
        <v>0</v>
      </c>
      <c r="O47" s="88">
        <f t="shared" si="7"/>
        <v>-0.0207227216064</v>
      </c>
      <c r="P47" s="88">
        <f t="shared" si="8"/>
        <v>-0.0828908864256</v>
      </c>
      <c r="Q47" s="88">
        <f t="shared" si="9"/>
        <v>0</v>
      </c>
      <c r="R47" s="88">
        <f t="shared" si="10"/>
        <v>0</v>
      </c>
      <c r="S47" s="88">
        <f t="shared" si="11"/>
        <v>0</v>
      </c>
      <c r="T47" s="88">
        <f t="shared" si="12"/>
        <v>0</v>
      </c>
      <c r="U47" s="88">
        <f t="shared" si="13"/>
        <v>0</v>
      </c>
      <c r="V47" s="88">
        <f t="shared" si="14"/>
        <v>0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  <row r="48" spans="1:36" s="79" customFormat="1" ht="30">
      <c r="A48" s="87" t="s">
        <v>92</v>
      </c>
      <c r="B48" s="35" t="s">
        <v>105</v>
      </c>
      <c r="C48" s="88">
        <v>0.047097094560000004</v>
      </c>
      <c r="D48" s="89">
        <v>0</v>
      </c>
      <c r="E48" s="90">
        <f t="shared" si="3"/>
        <v>0.009419418912000002</v>
      </c>
      <c r="F48" s="90">
        <f t="shared" si="4"/>
        <v>0.03767767564800001</v>
      </c>
      <c r="G48" s="90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88">
        <f t="shared" si="5"/>
        <v>-0.047097094560000004</v>
      </c>
      <c r="N48" s="88">
        <f t="shared" si="6"/>
        <v>0</v>
      </c>
      <c r="O48" s="88">
        <f t="shared" si="7"/>
        <v>-0.009419418912000002</v>
      </c>
      <c r="P48" s="88">
        <f t="shared" si="8"/>
        <v>-0.03767767564800001</v>
      </c>
      <c r="Q48" s="88">
        <f t="shared" si="9"/>
        <v>0</v>
      </c>
      <c r="R48" s="88">
        <f t="shared" si="10"/>
        <v>0</v>
      </c>
      <c r="S48" s="88">
        <f t="shared" si="11"/>
        <v>0</v>
      </c>
      <c r="T48" s="88">
        <f t="shared" si="12"/>
        <v>0</v>
      </c>
      <c r="U48" s="88">
        <f t="shared" si="13"/>
        <v>0</v>
      </c>
      <c r="V48" s="88">
        <f t="shared" si="14"/>
        <v>0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</row>
    <row r="49" spans="1:36" s="79" customFormat="1" ht="30">
      <c r="A49" s="87" t="s">
        <v>94</v>
      </c>
      <c r="B49" s="35" t="s">
        <v>107</v>
      </c>
      <c r="C49" s="88">
        <v>0.07535535129599999</v>
      </c>
      <c r="D49" s="89">
        <v>0</v>
      </c>
      <c r="E49" s="90">
        <f t="shared" si="3"/>
        <v>0.015071070259199999</v>
      </c>
      <c r="F49" s="90">
        <f t="shared" si="4"/>
        <v>0.060284281036799996</v>
      </c>
      <c r="G49" s="90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88">
        <f t="shared" si="5"/>
        <v>-0.07535535129599999</v>
      </c>
      <c r="N49" s="88">
        <f t="shared" si="6"/>
        <v>0</v>
      </c>
      <c r="O49" s="88">
        <f t="shared" si="7"/>
        <v>-0.015071070259199999</v>
      </c>
      <c r="P49" s="88">
        <f t="shared" si="8"/>
        <v>-0.060284281036799996</v>
      </c>
      <c r="Q49" s="88">
        <f t="shared" si="9"/>
        <v>0</v>
      </c>
      <c r="R49" s="88">
        <f t="shared" si="10"/>
        <v>0</v>
      </c>
      <c r="S49" s="88">
        <f t="shared" si="11"/>
        <v>0</v>
      </c>
      <c r="T49" s="88">
        <f t="shared" si="12"/>
        <v>0</v>
      </c>
      <c r="U49" s="88">
        <f t="shared" si="13"/>
        <v>0</v>
      </c>
      <c r="V49" s="88">
        <f t="shared" si="14"/>
        <v>0</v>
      </c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</row>
    <row r="50" spans="1:36" s="79" customFormat="1" ht="30">
      <c r="A50" s="87" t="s">
        <v>96</v>
      </c>
      <c r="B50" s="35" t="s">
        <v>109</v>
      </c>
      <c r="C50" s="88">
        <v>0.07535535129599999</v>
      </c>
      <c r="D50" s="89">
        <v>0</v>
      </c>
      <c r="E50" s="90">
        <f t="shared" si="3"/>
        <v>0.015071070259199999</v>
      </c>
      <c r="F50" s="90">
        <f t="shared" si="4"/>
        <v>0.060284281036799996</v>
      </c>
      <c r="G50" s="90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88">
        <f t="shared" si="5"/>
        <v>-0.07535535129599999</v>
      </c>
      <c r="N50" s="88">
        <f t="shared" si="6"/>
        <v>0</v>
      </c>
      <c r="O50" s="88">
        <f t="shared" si="7"/>
        <v>-0.015071070259199999</v>
      </c>
      <c r="P50" s="88">
        <f t="shared" si="8"/>
        <v>-0.060284281036799996</v>
      </c>
      <c r="Q50" s="88">
        <f t="shared" si="9"/>
        <v>0</v>
      </c>
      <c r="R50" s="88">
        <f t="shared" si="10"/>
        <v>0</v>
      </c>
      <c r="S50" s="88">
        <f t="shared" si="11"/>
        <v>0</v>
      </c>
      <c r="T50" s="88">
        <f t="shared" si="12"/>
        <v>0</v>
      </c>
      <c r="U50" s="88">
        <f t="shared" si="13"/>
        <v>0</v>
      </c>
      <c r="V50" s="88">
        <f t="shared" si="14"/>
        <v>0</v>
      </c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</row>
    <row r="51" spans="1:36" s="79" customFormat="1" ht="30">
      <c r="A51" s="87" t="s">
        <v>98</v>
      </c>
      <c r="B51" s="35" t="s">
        <v>111</v>
      </c>
      <c r="C51" s="88">
        <v>0.080065060752</v>
      </c>
      <c r="D51" s="89">
        <v>0</v>
      </c>
      <c r="E51" s="90">
        <f t="shared" si="3"/>
        <v>0.0160130121504</v>
      </c>
      <c r="F51" s="90">
        <f t="shared" si="4"/>
        <v>0.0640520486016</v>
      </c>
      <c r="G51" s="90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88">
        <f t="shared" si="5"/>
        <v>-0.080065060752</v>
      </c>
      <c r="N51" s="88">
        <f t="shared" si="6"/>
        <v>0</v>
      </c>
      <c r="O51" s="88">
        <f t="shared" si="7"/>
        <v>-0.0160130121504</v>
      </c>
      <c r="P51" s="88">
        <f t="shared" si="8"/>
        <v>-0.0640520486016</v>
      </c>
      <c r="Q51" s="88">
        <f t="shared" si="9"/>
        <v>0</v>
      </c>
      <c r="R51" s="88">
        <f t="shared" si="10"/>
        <v>0</v>
      </c>
      <c r="S51" s="88">
        <f t="shared" si="11"/>
        <v>0</v>
      </c>
      <c r="T51" s="88">
        <f t="shared" si="12"/>
        <v>0</v>
      </c>
      <c r="U51" s="88">
        <f t="shared" si="13"/>
        <v>0</v>
      </c>
      <c r="V51" s="88">
        <f t="shared" si="14"/>
        <v>0</v>
      </c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2" spans="1:36" s="79" customFormat="1" ht="30">
      <c r="A52" s="87" t="s">
        <v>100</v>
      </c>
      <c r="B52" s="35" t="s">
        <v>113</v>
      </c>
      <c r="C52" s="88">
        <v>0.136581574224</v>
      </c>
      <c r="D52" s="89">
        <v>0</v>
      </c>
      <c r="E52" s="90">
        <f t="shared" si="3"/>
        <v>0.027316314844800002</v>
      </c>
      <c r="F52" s="90">
        <f t="shared" si="4"/>
        <v>0.10926525937920001</v>
      </c>
      <c r="G52" s="90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88">
        <f t="shared" si="5"/>
        <v>-0.136581574224</v>
      </c>
      <c r="N52" s="88">
        <f t="shared" si="6"/>
        <v>0</v>
      </c>
      <c r="O52" s="88">
        <f t="shared" si="7"/>
        <v>-0.027316314844800002</v>
      </c>
      <c r="P52" s="88">
        <f t="shared" si="8"/>
        <v>-0.10926525937920001</v>
      </c>
      <c r="Q52" s="88">
        <f t="shared" si="9"/>
        <v>0</v>
      </c>
      <c r="R52" s="88">
        <f t="shared" si="10"/>
        <v>0</v>
      </c>
      <c r="S52" s="88">
        <f t="shared" si="11"/>
        <v>0</v>
      </c>
      <c r="T52" s="88">
        <f t="shared" si="12"/>
        <v>0</v>
      </c>
      <c r="U52" s="88">
        <f t="shared" si="13"/>
        <v>0</v>
      </c>
      <c r="V52" s="88">
        <f t="shared" si="14"/>
        <v>0</v>
      </c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  <row r="53" spans="1:36" s="79" customFormat="1" ht="30">
      <c r="A53" s="87" t="s">
        <v>102</v>
      </c>
      <c r="B53" s="35" t="s">
        <v>115</v>
      </c>
      <c r="C53" s="88">
        <v>0.047097094560000004</v>
      </c>
      <c r="D53" s="89">
        <v>0</v>
      </c>
      <c r="E53" s="90">
        <f t="shared" si="3"/>
        <v>0.009419418912000002</v>
      </c>
      <c r="F53" s="90">
        <f t="shared" si="4"/>
        <v>0.03767767564800001</v>
      </c>
      <c r="G53" s="90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88">
        <f aca="true" t="shared" si="15" ref="M53:M74">H53-C53</f>
        <v>-0.047097094560000004</v>
      </c>
      <c r="N53" s="88">
        <f aca="true" t="shared" si="16" ref="N53:N74">I53-D53</f>
        <v>0</v>
      </c>
      <c r="O53" s="88">
        <f aca="true" t="shared" si="17" ref="O53:O74">J53-E53</f>
        <v>-0.009419418912000002</v>
      </c>
      <c r="P53" s="88">
        <f aca="true" t="shared" si="18" ref="P53:P74">K53-F53</f>
        <v>-0.03767767564800001</v>
      </c>
      <c r="Q53" s="88">
        <f aca="true" t="shared" si="19" ref="Q53:Q74">L53-G53</f>
        <v>0</v>
      </c>
      <c r="R53" s="88">
        <f aca="true" t="shared" si="20" ref="R53:R74">H53</f>
        <v>0</v>
      </c>
      <c r="S53" s="88">
        <f aca="true" t="shared" si="21" ref="S53:S74">I53</f>
        <v>0</v>
      </c>
      <c r="T53" s="88">
        <f aca="true" t="shared" si="22" ref="T53:T74">J53</f>
        <v>0</v>
      </c>
      <c r="U53" s="88">
        <f aca="true" t="shared" si="23" ref="U53:U74">K53</f>
        <v>0</v>
      </c>
      <c r="V53" s="88">
        <f aca="true" t="shared" si="24" ref="V53:V74">L53</f>
        <v>0</v>
      </c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</row>
    <row r="54" spans="1:36" s="79" customFormat="1" ht="30">
      <c r="A54" s="87" t="s">
        <v>104</v>
      </c>
      <c r="B54" s="35" t="s">
        <v>117</v>
      </c>
      <c r="C54" s="88">
        <v>0.037677675647999995</v>
      </c>
      <c r="D54" s="89">
        <v>0</v>
      </c>
      <c r="E54" s="90">
        <f t="shared" si="3"/>
        <v>0.0075355351295999995</v>
      </c>
      <c r="F54" s="90">
        <f t="shared" si="4"/>
        <v>0.030142140518399998</v>
      </c>
      <c r="G54" s="90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88">
        <f t="shared" si="15"/>
        <v>-0.037677675647999995</v>
      </c>
      <c r="N54" s="88">
        <f t="shared" si="16"/>
        <v>0</v>
      </c>
      <c r="O54" s="88">
        <f t="shared" si="17"/>
        <v>-0.0075355351295999995</v>
      </c>
      <c r="P54" s="88">
        <f t="shared" si="18"/>
        <v>-0.030142140518399998</v>
      </c>
      <c r="Q54" s="88">
        <f t="shared" si="19"/>
        <v>0</v>
      </c>
      <c r="R54" s="88">
        <f t="shared" si="20"/>
        <v>0</v>
      </c>
      <c r="S54" s="88">
        <f t="shared" si="21"/>
        <v>0</v>
      </c>
      <c r="T54" s="88">
        <f t="shared" si="22"/>
        <v>0</v>
      </c>
      <c r="U54" s="88">
        <f t="shared" si="23"/>
        <v>0</v>
      </c>
      <c r="V54" s="88">
        <f t="shared" si="24"/>
        <v>0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</row>
    <row r="55" spans="1:36" s="79" customFormat="1" ht="45">
      <c r="A55" s="87" t="s">
        <v>106</v>
      </c>
      <c r="B55" s="35" t="s">
        <v>119</v>
      </c>
      <c r="C55" s="88">
        <v>0.028258256736</v>
      </c>
      <c r="D55" s="89">
        <v>0</v>
      </c>
      <c r="E55" s="90">
        <f t="shared" si="3"/>
        <v>0.0056516513472</v>
      </c>
      <c r="F55" s="90">
        <f t="shared" si="4"/>
        <v>0.0226066053888</v>
      </c>
      <c r="G55" s="90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88">
        <f t="shared" si="15"/>
        <v>-0.028258256736</v>
      </c>
      <c r="N55" s="88">
        <f t="shared" si="16"/>
        <v>0</v>
      </c>
      <c r="O55" s="88">
        <f t="shared" si="17"/>
        <v>-0.0056516513472</v>
      </c>
      <c r="P55" s="88">
        <f t="shared" si="18"/>
        <v>-0.0226066053888</v>
      </c>
      <c r="Q55" s="88">
        <f t="shared" si="19"/>
        <v>0</v>
      </c>
      <c r="R55" s="88">
        <f t="shared" si="20"/>
        <v>0</v>
      </c>
      <c r="S55" s="88">
        <f t="shared" si="21"/>
        <v>0</v>
      </c>
      <c r="T55" s="88">
        <f t="shared" si="22"/>
        <v>0</v>
      </c>
      <c r="U55" s="88">
        <f t="shared" si="23"/>
        <v>0</v>
      </c>
      <c r="V55" s="88">
        <f t="shared" si="24"/>
        <v>0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</row>
    <row r="56" spans="1:36" s="79" customFormat="1" ht="60">
      <c r="A56" s="87" t="s">
        <v>108</v>
      </c>
      <c r="B56" s="35" t="s">
        <v>121</v>
      </c>
      <c r="C56" s="88">
        <v>0.018838837823999997</v>
      </c>
      <c r="D56" s="89">
        <v>0</v>
      </c>
      <c r="E56" s="90">
        <f t="shared" si="3"/>
        <v>0.0037677675647999997</v>
      </c>
      <c r="F56" s="90">
        <f t="shared" si="4"/>
        <v>0.015071070259199999</v>
      </c>
      <c r="G56" s="90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88">
        <f t="shared" si="15"/>
        <v>-0.018838837823999997</v>
      </c>
      <c r="N56" s="88">
        <f t="shared" si="16"/>
        <v>0</v>
      </c>
      <c r="O56" s="88">
        <f t="shared" si="17"/>
        <v>-0.0037677675647999997</v>
      </c>
      <c r="P56" s="88">
        <f t="shared" si="18"/>
        <v>-0.015071070259199999</v>
      </c>
      <c r="Q56" s="88">
        <f t="shared" si="19"/>
        <v>0</v>
      </c>
      <c r="R56" s="88">
        <f t="shared" si="20"/>
        <v>0</v>
      </c>
      <c r="S56" s="88">
        <f t="shared" si="21"/>
        <v>0</v>
      </c>
      <c r="T56" s="88">
        <f t="shared" si="22"/>
        <v>0</v>
      </c>
      <c r="U56" s="88">
        <f t="shared" si="23"/>
        <v>0</v>
      </c>
      <c r="V56" s="88">
        <f t="shared" si="24"/>
        <v>0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</row>
    <row r="57" spans="1:36" s="79" customFormat="1" ht="30">
      <c r="A57" s="87" t="s">
        <v>110</v>
      </c>
      <c r="B57" s="35" t="s">
        <v>123</v>
      </c>
      <c r="C57" s="88">
        <v>0.122452445856</v>
      </c>
      <c r="D57" s="89">
        <v>0</v>
      </c>
      <c r="E57" s="90">
        <f t="shared" si="3"/>
        <v>0.024490489171200003</v>
      </c>
      <c r="F57" s="90">
        <f t="shared" si="4"/>
        <v>0.09796195668480001</v>
      </c>
      <c r="G57" s="90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88">
        <f t="shared" si="15"/>
        <v>-0.122452445856</v>
      </c>
      <c r="N57" s="88">
        <f t="shared" si="16"/>
        <v>0</v>
      </c>
      <c r="O57" s="88">
        <f t="shared" si="17"/>
        <v>-0.024490489171200003</v>
      </c>
      <c r="P57" s="88">
        <f t="shared" si="18"/>
        <v>-0.09796195668480001</v>
      </c>
      <c r="Q57" s="88">
        <f t="shared" si="19"/>
        <v>0</v>
      </c>
      <c r="R57" s="88">
        <f t="shared" si="20"/>
        <v>0</v>
      </c>
      <c r="S57" s="88">
        <f t="shared" si="21"/>
        <v>0</v>
      </c>
      <c r="T57" s="88">
        <f t="shared" si="22"/>
        <v>0</v>
      </c>
      <c r="U57" s="88">
        <f t="shared" si="23"/>
        <v>0</v>
      </c>
      <c r="V57" s="88">
        <f t="shared" si="24"/>
        <v>0</v>
      </c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</row>
    <row r="58" spans="1:36" s="79" customFormat="1" ht="30">
      <c r="A58" s="87" t="s">
        <v>112</v>
      </c>
      <c r="B58" s="35" t="s">
        <v>125</v>
      </c>
      <c r="C58" s="88">
        <v>0.113033026944</v>
      </c>
      <c r="D58" s="89">
        <v>0</v>
      </c>
      <c r="E58" s="90">
        <f t="shared" si="3"/>
        <v>0.0226066053888</v>
      </c>
      <c r="F58" s="90">
        <f t="shared" si="4"/>
        <v>0.0904264215552</v>
      </c>
      <c r="G58" s="90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88">
        <f t="shared" si="15"/>
        <v>-0.113033026944</v>
      </c>
      <c r="N58" s="88">
        <f t="shared" si="16"/>
        <v>0</v>
      </c>
      <c r="O58" s="88">
        <f t="shared" si="17"/>
        <v>-0.0226066053888</v>
      </c>
      <c r="P58" s="88">
        <f t="shared" si="18"/>
        <v>-0.0904264215552</v>
      </c>
      <c r="Q58" s="88">
        <f t="shared" si="19"/>
        <v>0</v>
      </c>
      <c r="R58" s="88">
        <f t="shared" si="20"/>
        <v>0</v>
      </c>
      <c r="S58" s="88">
        <f t="shared" si="21"/>
        <v>0</v>
      </c>
      <c r="T58" s="88">
        <f t="shared" si="22"/>
        <v>0</v>
      </c>
      <c r="U58" s="88">
        <f t="shared" si="23"/>
        <v>0</v>
      </c>
      <c r="V58" s="88">
        <f t="shared" si="24"/>
        <v>0</v>
      </c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</row>
    <row r="59" spans="1:36" s="79" customFormat="1" ht="30">
      <c r="A59" s="87" t="s">
        <v>114</v>
      </c>
      <c r="B59" s="35" t="s">
        <v>127</v>
      </c>
      <c r="C59" s="88">
        <v>0.47097094559999997</v>
      </c>
      <c r="D59" s="89">
        <v>0</v>
      </c>
      <c r="E59" s="90">
        <f t="shared" si="3"/>
        <v>0.09419418912</v>
      </c>
      <c r="F59" s="90">
        <f t="shared" si="4"/>
        <v>0.37677675648</v>
      </c>
      <c r="G59" s="90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88">
        <f t="shared" si="15"/>
        <v>-0.47097094559999997</v>
      </c>
      <c r="N59" s="88">
        <f t="shared" si="16"/>
        <v>0</v>
      </c>
      <c r="O59" s="88">
        <f t="shared" si="17"/>
        <v>-0.09419418912</v>
      </c>
      <c r="P59" s="88">
        <f t="shared" si="18"/>
        <v>-0.37677675648</v>
      </c>
      <c r="Q59" s="88">
        <f t="shared" si="19"/>
        <v>0</v>
      </c>
      <c r="R59" s="88">
        <f t="shared" si="20"/>
        <v>0</v>
      </c>
      <c r="S59" s="88">
        <f t="shared" si="21"/>
        <v>0</v>
      </c>
      <c r="T59" s="88">
        <f t="shared" si="22"/>
        <v>0</v>
      </c>
      <c r="U59" s="88">
        <f t="shared" si="23"/>
        <v>0</v>
      </c>
      <c r="V59" s="88">
        <f t="shared" si="24"/>
        <v>0</v>
      </c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</row>
    <row r="60" spans="1:36" s="79" customFormat="1" ht="30">
      <c r="A60" s="87" t="s">
        <v>116</v>
      </c>
      <c r="B60" s="35" t="s">
        <v>129</v>
      </c>
      <c r="C60" s="88">
        <v>0.32967966192</v>
      </c>
      <c r="D60" s="89">
        <v>0</v>
      </c>
      <c r="E60" s="90">
        <f t="shared" si="3"/>
        <v>0.065935932384</v>
      </c>
      <c r="F60" s="90">
        <f t="shared" si="4"/>
        <v>0.263743729536</v>
      </c>
      <c r="G60" s="90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88">
        <f t="shared" si="15"/>
        <v>-0.32967966192</v>
      </c>
      <c r="N60" s="88">
        <f t="shared" si="16"/>
        <v>0</v>
      </c>
      <c r="O60" s="88">
        <f t="shared" si="17"/>
        <v>-0.065935932384</v>
      </c>
      <c r="P60" s="88">
        <f t="shared" si="18"/>
        <v>-0.263743729536</v>
      </c>
      <c r="Q60" s="88">
        <f t="shared" si="19"/>
        <v>0</v>
      </c>
      <c r="R60" s="88">
        <f t="shared" si="20"/>
        <v>0</v>
      </c>
      <c r="S60" s="88">
        <f t="shared" si="21"/>
        <v>0</v>
      </c>
      <c r="T60" s="88">
        <f t="shared" si="22"/>
        <v>0</v>
      </c>
      <c r="U60" s="88">
        <f t="shared" si="23"/>
        <v>0</v>
      </c>
      <c r="V60" s="88">
        <f t="shared" si="24"/>
        <v>0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</row>
    <row r="61" spans="1:36" s="79" customFormat="1" ht="30">
      <c r="A61" s="87" t="s">
        <v>118</v>
      </c>
      <c r="B61" s="35" t="s">
        <v>131</v>
      </c>
      <c r="C61" s="88">
        <v>0.18838837824000002</v>
      </c>
      <c r="D61" s="89">
        <v>0</v>
      </c>
      <c r="E61" s="90">
        <f t="shared" si="3"/>
        <v>0.03767767564800001</v>
      </c>
      <c r="F61" s="90">
        <f t="shared" si="4"/>
        <v>0.15071070259200003</v>
      </c>
      <c r="G61" s="90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88">
        <f t="shared" si="15"/>
        <v>-0.18838837824000002</v>
      </c>
      <c r="N61" s="88">
        <f t="shared" si="16"/>
        <v>0</v>
      </c>
      <c r="O61" s="88">
        <f t="shared" si="17"/>
        <v>-0.03767767564800001</v>
      </c>
      <c r="P61" s="88">
        <f t="shared" si="18"/>
        <v>-0.15071070259200003</v>
      </c>
      <c r="Q61" s="88">
        <f t="shared" si="19"/>
        <v>0</v>
      </c>
      <c r="R61" s="88">
        <f t="shared" si="20"/>
        <v>0</v>
      </c>
      <c r="S61" s="88">
        <f t="shared" si="21"/>
        <v>0</v>
      </c>
      <c r="T61" s="88">
        <f t="shared" si="22"/>
        <v>0</v>
      </c>
      <c r="U61" s="88">
        <f t="shared" si="23"/>
        <v>0</v>
      </c>
      <c r="V61" s="88">
        <f t="shared" si="24"/>
        <v>0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</row>
    <row r="62" spans="1:36" s="79" customFormat="1" ht="30">
      <c r="A62" s="87" t="s">
        <v>120</v>
      </c>
      <c r="B62" s="35" t="s">
        <v>145</v>
      </c>
      <c r="C62" s="88">
        <v>4.93178816</v>
      </c>
      <c r="D62" s="89">
        <v>0</v>
      </c>
      <c r="E62" s="89">
        <v>0</v>
      </c>
      <c r="F62" s="89">
        <v>0</v>
      </c>
      <c r="G62" s="89">
        <v>0</v>
      </c>
      <c r="H62" s="31">
        <v>0</v>
      </c>
      <c r="I62" s="92">
        <v>0</v>
      </c>
      <c r="J62" s="91">
        <f aca="true" t="shared" si="25" ref="J62:J74">H62*0.2</f>
        <v>0</v>
      </c>
      <c r="K62" s="91">
        <f aca="true" t="shared" si="26" ref="K62:K74">H62*0.8</f>
        <v>0</v>
      </c>
      <c r="L62" s="92">
        <v>0</v>
      </c>
      <c r="M62" s="88">
        <f t="shared" si="15"/>
        <v>-4.93178816</v>
      </c>
      <c r="N62" s="88">
        <f t="shared" si="16"/>
        <v>0</v>
      </c>
      <c r="O62" s="88">
        <f t="shared" si="17"/>
        <v>0</v>
      </c>
      <c r="P62" s="88">
        <f t="shared" si="18"/>
        <v>0</v>
      </c>
      <c r="Q62" s="88">
        <f t="shared" si="19"/>
        <v>0</v>
      </c>
      <c r="R62" s="88">
        <f t="shared" si="20"/>
        <v>0</v>
      </c>
      <c r="S62" s="88">
        <f t="shared" si="21"/>
        <v>0</v>
      </c>
      <c r="T62" s="88">
        <f t="shared" si="22"/>
        <v>0</v>
      </c>
      <c r="U62" s="88">
        <f t="shared" si="23"/>
        <v>0</v>
      </c>
      <c r="V62" s="88">
        <f t="shared" si="24"/>
        <v>0</v>
      </c>
      <c r="W62" s="81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s="1" customFormat="1" ht="30">
      <c r="A63" s="87" t="s">
        <v>122</v>
      </c>
      <c r="B63" s="35" t="s">
        <v>154</v>
      </c>
      <c r="C63" s="93">
        <v>0</v>
      </c>
      <c r="D63" s="92">
        <v>0</v>
      </c>
      <c r="E63" s="92">
        <v>0</v>
      </c>
      <c r="F63" s="92">
        <v>0</v>
      </c>
      <c r="G63" s="92">
        <v>0</v>
      </c>
      <c r="H63" s="94">
        <v>2.233607014</v>
      </c>
      <c r="I63" s="92">
        <v>0</v>
      </c>
      <c r="J63" s="91">
        <f t="shared" si="25"/>
        <v>0.4467214028</v>
      </c>
      <c r="K63" s="91">
        <f t="shared" si="26"/>
        <v>1.7868856112</v>
      </c>
      <c r="L63" s="92">
        <v>0</v>
      </c>
      <c r="M63" s="93">
        <f t="shared" si="15"/>
        <v>2.233607014</v>
      </c>
      <c r="N63" s="93">
        <f t="shared" si="16"/>
        <v>0</v>
      </c>
      <c r="O63" s="93">
        <f t="shared" si="17"/>
        <v>0.4467214028</v>
      </c>
      <c r="P63" s="93">
        <f t="shared" si="18"/>
        <v>1.7868856112</v>
      </c>
      <c r="Q63" s="93">
        <f t="shared" si="19"/>
        <v>0</v>
      </c>
      <c r="R63" s="93">
        <f t="shared" si="20"/>
        <v>2.233607014</v>
      </c>
      <c r="S63" s="93">
        <f t="shared" si="21"/>
        <v>0</v>
      </c>
      <c r="T63" s="93">
        <f t="shared" si="22"/>
        <v>0.4467214028</v>
      </c>
      <c r="U63" s="93">
        <f t="shared" si="23"/>
        <v>1.7868856112</v>
      </c>
      <c r="V63" s="93">
        <f t="shared" si="24"/>
        <v>0</v>
      </c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</row>
    <row r="64" spans="1:36" s="1" customFormat="1" ht="30">
      <c r="A64" s="87" t="s">
        <v>124</v>
      </c>
      <c r="B64" s="35" t="s">
        <v>166</v>
      </c>
      <c r="C64" s="93">
        <v>0</v>
      </c>
      <c r="D64" s="92">
        <v>0</v>
      </c>
      <c r="E64" s="92">
        <v>0</v>
      </c>
      <c r="F64" s="92">
        <v>0</v>
      </c>
      <c r="G64" s="92">
        <v>0</v>
      </c>
      <c r="H64" s="94">
        <v>0.87695948</v>
      </c>
      <c r="I64" s="92">
        <v>0</v>
      </c>
      <c r="J64" s="91">
        <f t="shared" si="25"/>
        <v>0.17539189600000002</v>
      </c>
      <c r="K64" s="91">
        <f t="shared" si="26"/>
        <v>0.7015675840000001</v>
      </c>
      <c r="L64" s="92">
        <v>0</v>
      </c>
      <c r="M64" s="93">
        <f t="shared" si="15"/>
        <v>0.87695948</v>
      </c>
      <c r="N64" s="93">
        <f t="shared" si="16"/>
        <v>0</v>
      </c>
      <c r="O64" s="93">
        <f t="shared" si="17"/>
        <v>0.17539189600000002</v>
      </c>
      <c r="P64" s="93">
        <f t="shared" si="18"/>
        <v>0.7015675840000001</v>
      </c>
      <c r="Q64" s="93">
        <f t="shared" si="19"/>
        <v>0</v>
      </c>
      <c r="R64" s="93">
        <f t="shared" si="20"/>
        <v>0.87695948</v>
      </c>
      <c r="S64" s="93">
        <f t="shared" si="21"/>
        <v>0</v>
      </c>
      <c r="T64" s="93">
        <f t="shared" si="22"/>
        <v>0.17539189600000002</v>
      </c>
      <c r="U64" s="93">
        <f t="shared" si="23"/>
        <v>0.7015675840000001</v>
      </c>
      <c r="V64" s="93">
        <f t="shared" si="24"/>
        <v>0</v>
      </c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</row>
    <row r="65" spans="1:36" s="1" customFormat="1" ht="30">
      <c r="A65" s="87" t="s">
        <v>126</v>
      </c>
      <c r="B65" s="35" t="s">
        <v>170</v>
      </c>
      <c r="C65" s="93">
        <v>0</v>
      </c>
      <c r="D65" s="92">
        <v>0</v>
      </c>
      <c r="E65" s="92">
        <v>0</v>
      </c>
      <c r="F65" s="92">
        <v>0</v>
      </c>
      <c r="G65" s="92">
        <v>0</v>
      </c>
      <c r="H65" s="94">
        <v>0.0639020268</v>
      </c>
      <c r="I65" s="92">
        <v>0</v>
      </c>
      <c r="J65" s="91">
        <f t="shared" si="25"/>
        <v>0.01278040536</v>
      </c>
      <c r="K65" s="91">
        <f t="shared" si="26"/>
        <v>0.05112162144</v>
      </c>
      <c r="L65" s="92">
        <v>0</v>
      </c>
      <c r="M65" s="93">
        <f t="shared" si="15"/>
        <v>0.0639020268</v>
      </c>
      <c r="N65" s="93">
        <f t="shared" si="16"/>
        <v>0</v>
      </c>
      <c r="O65" s="93">
        <f t="shared" si="17"/>
        <v>0.01278040536</v>
      </c>
      <c r="P65" s="93">
        <f t="shared" si="18"/>
        <v>0.05112162144</v>
      </c>
      <c r="Q65" s="93">
        <f t="shared" si="19"/>
        <v>0</v>
      </c>
      <c r="R65" s="93">
        <f t="shared" si="20"/>
        <v>0.0639020268</v>
      </c>
      <c r="S65" s="93">
        <f t="shared" si="21"/>
        <v>0</v>
      </c>
      <c r="T65" s="93">
        <f t="shared" si="22"/>
        <v>0.01278040536</v>
      </c>
      <c r="U65" s="93">
        <f t="shared" si="23"/>
        <v>0.05112162144</v>
      </c>
      <c r="V65" s="93">
        <f t="shared" si="24"/>
        <v>0</v>
      </c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</row>
    <row r="66" spans="1:36" s="1" customFormat="1" ht="30">
      <c r="A66" s="87" t="s">
        <v>128</v>
      </c>
      <c r="B66" s="35" t="s">
        <v>172</v>
      </c>
      <c r="C66" s="93">
        <v>0</v>
      </c>
      <c r="D66" s="92">
        <v>0</v>
      </c>
      <c r="E66" s="92">
        <v>0</v>
      </c>
      <c r="F66" s="92">
        <v>0</v>
      </c>
      <c r="G66" s="92">
        <v>0</v>
      </c>
      <c r="H66" s="94">
        <v>0.094444604</v>
      </c>
      <c r="I66" s="92">
        <v>0</v>
      </c>
      <c r="J66" s="91">
        <f t="shared" si="25"/>
        <v>0.0188889208</v>
      </c>
      <c r="K66" s="91">
        <f t="shared" si="26"/>
        <v>0.0755556832</v>
      </c>
      <c r="L66" s="92">
        <v>0</v>
      </c>
      <c r="M66" s="93">
        <f t="shared" si="15"/>
        <v>0.094444604</v>
      </c>
      <c r="N66" s="93">
        <f t="shared" si="16"/>
        <v>0</v>
      </c>
      <c r="O66" s="93">
        <f t="shared" si="17"/>
        <v>0.0188889208</v>
      </c>
      <c r="P66" s="93">
        <f t="shared" si="18"/>
        <v>0.0755556832</v>
      </c>
      <c r="Q66" s="93">
        <f t="shared" si="19"/>
        <v>0</v>
      </c>
      <c r="R66" s="93">
        <f t="shared" si="20"/>
        <v>0.094444604</v>
      </c>
      <c r="S66" s="93">
        <f t="shared" si="21"/>
        <v>0</v>
      </c>
      <c r="T66" s="93">
        <f t="shared" si="22"/>
        <v>0.0188889208</v>
      </c>
      <c r="U66" s="93">
        <f t="shared" si="23"/>
        <v>0.0755556832</v>
      </c>
      <c r="V66" s="93">
        <f t="shared" si="24"/>
        <v>0</v>
      </c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</row>
    <row r="67" spans="1:36" s="1" customFormat="1" ht="30">
      <c r="A67" s="87" t="s">
        <v>130</v>
      </c>
      <c r="B67" s="35" t="s">
        <v>174</v>
      </c>
      <c r="C67" s="93">
        <v>0</v>
      </c>
      <c r="D67" s="92">
        <v>0</v>
      </c>
      <c r="E67" s="92">
        <v>0</v>
      </c>
      <c r="F67" s="92">
        <v>0</v>
      </c>
      <c r="G67" s="92">
        <v>0</v>
      </c>
      <c r="H67" s="94">
        <v>0.062177504</v>
      </c>
      <c r="I67" s="92">
        <v>0</v>
      </c>
      <c r="J67" s="91">
        <f t="shared" si="25"/>
        <v>0.0124355008</v>
      </c>
      <c r="K67" s="91">
        <f t="shared" si="26"/>
        <v>0.0497420032</v>
      </c>
      <c r="L67" s="92">
        <v>0</v>
      </c>
      <c r="M67" s="93">
        <f t="shared" si="15"/>
        <v>0.062177504</v>
      </c>
      <c r="N67" s="93">
        <f t="shared" si="16"/>
        <v>0</v>
      </c>
      <c r="O67" s="93">
        <f t="shared" si="17"/>
        <v>0.0124355008</v>
      </c>
      <c r="P67" s="93">
        <f t="shared" si="18"/>
        <v>0.0497420032</v>
      </c>
      <c r="Q67" s="93">
        <f t="shared" si="19"/>
        <v>0</v>
      </c>
      <c r="R67" s="93">
        <f t="shared" si="20"/>
        <v>0.062177504</v>
      </c>
      <c r="S67" s="93">
        <f t="shared" si="21"/>
        <v>0</v>
      </c>
      <c r="T67" s="93">
        <f t="shared" si="22"/>
        <v>0.0124355008</v>
      </c>
      <c r="U67" s="93">
        <f t="shared" si="23"/>
        <v>0.0497420032</v>
      </c>
      <c r="V67" s="93">
        <f t="shared" si="24"/>
        <v>0</v>
      </c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</row>
    <row r="68" spans="1:36" s="1" customFormat="1" ht="30">
      <c r="A68" s="87" t="s">
        <v>132</v>
      </c>
      <c r="B68" s="35" t="s">
        <v>176</v>
      </c>
      <c r="C68" s="93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0.3417202474</v>
      </c>
      <c r="I68" s="92">
        <v>0</v>
      </c>
      <c r="J68" s="91">
        <f t="shared" si="25"/>
        <v>0.06834404948</v>
      </c>
      <c r="K68" s="91">
        <f t="shared" si="26"/>
        <v>0.27337619792</v>
      </c>
      <c r="L68" s="92">
        <v>0</v>
      </c>
      <c r="M68" s="93">
        <f t="shared" si="15"/>
        <v>0.3417202474</v>
      </c>
      <c r="N68" s="93">
        <f t="shared" si="16"/>
        <v>0</v>
      </c>
      <c r="O68" s="93">
        <f t="shared" si="17"/>
        <v>0.06834404948</v>
      </c>
      <c r="P68" s="93">
        <f t="shared" si="18"/>
        <v>0.27337619792</v>
      </c>
      <c r="Q68" s="93">
        <f t="shared" si="19"/>
        <v>0</v>
      </c>
      <c r="R68" s="93">
        <f t="shared" si="20"/>
        <v>0.3417202474</v>
      </c>
      <c r="S68" s="93">
        <f t="shared" si="21"/>
        <v>0</v>
      </c>
      <c r="T68" s="93">
        <f t="shared" si="22"/>
        <v>0.06834404948</v>
      </c>
      <c r="U68" s="93">
        <f t="shared" si="23"/>
        <v>0.27337619792</v>
      </c>
      <c r="V68" s="93">
        <f t="shared" si="24"/>
        <v>0</v>
      </c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</row>
    <row r="69" spans="1:36" s="1" customFormat="1" ht="30">
      <c r="A69" s="87" t="s">
        <v>134</v>
      </c>
      <c r="B69" s="35" t="s">
        <v>178</v>
      </c>
      <c r="C69" s="93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0.066781982</v>
      </c>
      <c r="I69" s="92">
        <v>0</v>
      </c>
      <c r="J69" s="91">
        <f t="shared" si="25"/>
        <v>0.013356396400000001</v>
      </c>
      <c r="K69" s="91">
        <f t="shared" si="26"/>
        <v>0.053425585600000006</v>
      </c>
      <c r="L69" s="92">
        <v>0</v>
      </c>
      <c r="M69" s="93">
        <f t="shared" si="15"/>
        <v>0.066781982</v>
      </c>
      <c r="N69" s="93">
        <f t="shared" si="16"/>
        <v>0</v>
      </c>
      <c r="O69" s="93">
        <f t="shared" si="17"/>
        <v>0.013356396400000001</v>
      </c>
      <c r="P69" s="93">
        <f t="shared" si="18"/>
        <v>0.053425585600000006</v>
      </c>
      <c r="Q69" s="93">
        <f t="shared" si="19"/>
        <v>0</v>
      </c>
      <c r="R69" s="93">
        <f t="shared" si="20"/>
        <v>0.066781982</v>
      </c>
      <c r="S69" s="93">
        <f t="shared" si="21"/>
        <v>0</v>
      </c>
      <c r="T69" s="93">
        <f t="shared" si="22"/>
        <v>0.013356396400000001</v>
      </c>
      <c r="U69" s="93">
        <f t="shared" si="23"/>
        <v>0.053425585600000006</v>
      </c>
      <c r="V69" s="93">
        <f t="shared" si="24"/>
        <v>0</v>
      </c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</row>
    <row r="70" spans="1:36" s="1" customFormat="1" ht="45">
      <c r="A70" s="87" t="s">
        <v>136</v>
      </c>
      <c r="B70" s="35" t="s">
        <v>180</v>
      </c>
      <c r="C70" s="93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0.0265664728</v>
      </c>
      <c r="I70" s="92">
        <v>0</v>
      </c>
      <c r="J70" s="91">
        <f t="shared" si="25"/>
        <v>0.005313294560000001</v>
      </c>
      <c r="K70" s="91">
        <f t="shared" si="26"/>
        <v>0.021253178240000004</v>
      </c>
      <c r="L70" s="92">
        <v>0</v>
      </c>
      <c r="M70" s="93">
        <f t="shared" si="15"/>
        <v>0.0265664728</v>
      </c>
      <c r="N70" s="93">
        <f t="shared" si="16"/>
        <v>0</v>
      </c>
      <c r="O70" s="93">
        <f t="shared" si="17"/>
        <v>0.005313294560000001</v>
      </c>
      <c r="P70" s="93">
        <f t="shared" si="18"/>
        <v>0.021253178240000004</v>
      </c>
      <c r="Q70" s="93">
        <f t="shared" si="19"/>
        <v>0</v>
      </c>
      <c r="R70" s="93">
        <f t="shared" si="20"/>
        <v>0.0265664728</v>
      </c>
      <c r="S70" s="93">
        <f t="shared" si="21"/>
        <v>0</v>
      </c>
      <c r="T70" s="93">
        <f t="shared" si="22"/>
        <v>0.005313294560000001</v>
      </c>
      <c r="U70" s="93">
        <f t="shared" si="23"/>
        <v>0.021253178240000004</v>
      </c>
      <c r="V70" s="93">
        <f t="shared" si="24"/>
        <v>0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</row>
    <row r="71" spans="1:36" s="1" customFormat="1" ht="30">
      <c r="A71" s="87" t="s">
        <v>138</v>
      </c>
      <c r="B71" s="35" t="s">
        <v>182</v>
      </c>
      <c r="C71" s="93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0.029110481999999997</v>
      </c>
      <c r="I71" s="92">
        <v>0</v>
      </c>
      <c r="J71" s="91">
        <f t="shared" si="25"/>
        <v>0.0058220964</v>
      </c>
      <c r="K71" s="91">
        <f t="shared" si="26"/>
        <v>0.0232883856</v>
      </c>
      <c r="L71" s="92">
        <v>0</v>
      </c>
      <c r="M71" s="93">
        <f t="shared" si="15"/>
        <v>0.029110481999999997</v>
      </c>
      <c r="N71" s="93">
        <f t="shared" si="16"/>
        <v>0</v>
      </c>
      <c r="O71" s="93">
        <f t="shared" si="17"/>
        <v>0.0058220964</v>
      </c>
      <c r="P71" s="93">
        <f t="shared" si="18"/>
        <v>0.0232883856</v>
      </c>
      <c r="Q71" s="93">
        <f t="shared" si="19"/>
        <v>0</v>
      </c>
      <c r="R71" s="93">
        <f t="shared" si="20"/>
        <v>0.029110481999999997</v>
      </c>
      <c r="S71" s="93">
        <f t="shared" si="21"/>
        <v>0</v>
      </c>
      <c r="T71" s="93">
        <f t="shared" si="22"/>
        <v>0.0058220964</v>
      </c>
      <c r="U71" s="93">
        <f t="shared" si="23"/>
        <v>0.0232883856</v>
      </c>
      <c r="V71" s="93">
        <f t="shared" si="24"/>
        <v>0</v>
      </c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</row>
    <row r="72" spans="1:36" s="1" customFormat="1" ht="15">
      <c r="A72" s="87" t="s">
        <v>140</v>
      </c>
      <c r="B72" s="35" t="s">
        <v>184</v>
      </c>
      <c r="C72" s="93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0.007725224</v>
      </c>
      <c r="I72" s="92">
        <v>0</v>
      </c>
      <c r="J72" s="91">
        <f t="shared" si="25"/>
        <v>0.0015450448</v>
      </c>
      <c r="K72" s="91">
        <f t="shared" si="26"/>
        <v>0.0061801792</v>
      </c>
      <c r="L72" s="92">
        <v>0</v>
      </c>
      <c r="M72" s="93">
        <f t="shared" si="15"/>
        <v>0.007725224</v>
      </c>
      <c r="N72" s="93">
        <f t="shared" si="16"/>
        <v>0</v>
      </c>
      <c r="O72" s="93">
        <f t="shared" si="17"/>
        <v>0.0015450448</v>
      </c>
      <c r="P72" s="93">
        <f t="shared" si="18"/>
        <v>0.0061801792</v>
      </c>
      <c r="Q72" s="93">
        <f t="shared" si="19"/>
        <v>0</v>
      </c>
      <c r="R72" s="93">
        <f t="shared" si="20"/>
        <v>0.007725224</v>
      </c>
      <c r="S72" s="93">
        <f t="shared" si="21"/>
        <v>0</v>
      </c>
      <c r="T72" s="93">
        <f t="shared" si="22"/>
        <v>0.0015450448</v>
      </c>
      <c r="U72" s="93">
        <f t="shared" si="23"/>
        <v>0.0061801792</v>
      </c>
      <c r="V72" s="93">
        <f t="shared" si="24"/>
        <v>0</v>
      </c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</row>
    <row r="73" spans="1:36" s="1" customFormat="1" ht="15">
      <c r="A73" s="87" t="s">
        <v>142</v>
      </c>
      <c r="B73" s="35" t="s">
        <v>186</v>
      </c>
      <c r="C73" s="93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0.449999962</v>
      </c>
      <c r="I73" s="92">
        <v>0</v>
      </c>
      <c r="J73" s="91">
        <f t="shared" si="25"/>
        <v>0.0899999924</v>
      </c>
      <c r="K73" s="91">
        <f t="shared" si="26"/>
        <v>0.3599999696</v>
      </c>
      <c r="L73" s="92">
        <v>0</v>
      </c>
      <c r="M73" s="93">
        <f t="shared" si="15"/>
        <v>0.449999962</v>
      </c>
      <c r="N73" s="93">
        <f t="shared" si="16"/>
        <v>0</v>
      </c>
      <c r="O73" s="93">
        <f t="shared" si="17"/>
        <v>0.0899999924</v>
      </c>
      <c r="P73" s="93">
        <f t="shared" si="18"/>
        <v>0.3599999696</v>
      </c>
      <c r="Q73" s="93">
        <f t="shared" si="19"/>
        <v>0</v>
      </c>
      <c r="R73" s="93">
        <f t="shared" si="20"/>
        <v>0.449999962</v>
      </c>
      <c r="S73" s="93">
        <f t="shared" si="21"/>
        <v>0</v>
      </c>
      <c r="T73" s="93">
        <f t="shared" si="22"/>
        <v>0.0899999924</v>
      </c>
      <c r="U73" s="93">
        <f t="shared" si="23"/>
        <v>0.3599999696</v>
      </c>
      <c r="V73" s="93">
        <f t="shared" si="24"/>
        <v>0</v>
      </c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</row>
    <row r="74" spans="1:36" s="1" customFormat="1" ht="15">
      <c r="A74" s="87" t="s">
        <v>144</v>
      </c>
      <c r="B74" s="35" t="s">
        <v>188</v>
      </c>
      <c r="C74" s="93">
        <v>0</v>
      </c>
      <c r="D74" s="92">
        <v>0</v>
      </c>
      <c r="E74" s="92">
        <v>0</v>
      </c>
      <c r="F74" s="92">
        <v>0</v>
      </c>
      <c r="G74" s="92">
        <v>0</v>
      </c>
      <c r="H74" s="92">
        <v>3.54</v>
      </c>
      <c r="I74" s="92">
        <v>0</v>
      </c>
      <c r="J74" s="91">
        <f t="shared" si="25"/>
        <v>0.7080000000000001</v>
      </c>
      <c r="K74" s="91">
        <f t="shared" si="26"/>
        <v>2.8320000000000003</v>
      </c>
      <c r="L74" s="92">
        <v>0</v>
      </c>
      <c r="M74" s="93">
        <f t="shared" si="15"/>
        <v>3.54</v>
      </c>
      <c r="N74" s="93">
        <f t="shared" si="16"/>
        <v>0</v>
      </c>
      <c r="O74" s="93">
        <f t="shared" si="17"/>
        <v>0.7080000000000001</v>
      </c>
      <c r="P74" s="93">
        <f t="shared" si="18"/>
        <v>2.8320000000000003</v>
      </c>
      <c r="Q74" s="93">
        <f t="shared" si="19"/>
        <v>0</v>
      </c>
      <c r="R74" s="93">
        <f t="shared" si="20"/>
        <v>3.54</v>
      </c>
      <c r="S74" s="93">
        <f t="shared" si="21"/>
        <v>0</v>
      </c>
      <c r="T74" s="93">
        <f t="shared" si="22"/>
        <v>0.7080000000000001</v>
      </c>
      <c r="U74" s="93">
        <f t="shared" si="23"/>
        <v>2.8320000000000003</v>
      </c>
      <c r="V74" s="93">
        <f t="shared" si="24"/>
        <v>0</v>
      </c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</row>
    <row r="75" spans="1:36" s="79" customFormat="1" ht="15.75">
      <c r="A75" s="86" t="s">
        <v>189</v>
      </c>
      <c r="B75" s="85" t="s">
        <v>190</v>
      </c>
      <c r="C75" s="83">
        <f>SUM(C76:C79)</f>
        <v>2.97745624</v>
      </c>
      <c r="D75" s="83">
        <f aca="true" t="shared" si="27" ref="D75:V75">SUM(D78:D79)</f>
        <v>0</v>
      </c>
      <c r="E75" s="83">
        <f t="shared" si="27"/>
        <v>0</v>
      </c>
      <c r="F75" s="83">
        <f t="shared" si="27"/>
        <v>0</v>
      </c>
      <c r="G75" s="83">
        <f t="shared" si="27"/>
        <v>0</v>
      </c>
      <c r="H75" s="84">
        <f t="shared" si="27"/>
        <v>1.3438630599999997</v>
      </c>
      <c r="I75" s="84">
        <f t="shared" si="27"/>
        <v>0</v>
      </c>
      <c r="J75" s="84">
        <f t="shared" si="27"/>
        <v>0.2687726119999999</v>
      </c>
      <c r="K75" s="84">
        <f t="shared" si="27"/>
        <v>1.0750904479999996</v>
      </c>
      <c r="L75" s="84">
        <f t="shared" si="27"/>
        <v>0</v>
      </c>
      <c r="M75" s="83">
        <f t="shared" si="27"/>
        <v>1.3438630599999997</v>
      </c>
      <c r="N75" s="83">
        <f t="shared" si="27"/>
        <v>0</v>
      </c>
      <c r="O75" s="83">
        <f t="shared" si="27"/>
        <v>0.2687726119999999</v>
      </c>
      <c r="P75" s="83">
        <f t="shared" si="27"/>
        <v>1.0750904479999996</v>
      </c>
      <c r="Q75" s="83">
        <f t="shared" si="27"/>
        <v>0</v>
      </c>
      <c r="R75" s="83">
        <f t="shared" si="27"/>
        <v>1.3438630599999997</v>
      </c>
      <c r="S75" s="83">
        <f t="shared" si="27"/>
        <v>0</v>
      </c>
      <c r="T75" s="83">
        <f t="shared" si="27"/>
        <v>0.2687726119999999</v>
      </c>
      <c r="U75" s="83">
        <f t="shared" si="27"/>
        <v>1.0750904479999996</v>
      </c>
      <c r="V75" s="83">
        <f t="shared" si="27"/>
        <v>0</v>
      </c>
      <c r="W75" s="83"/>
      <c r="X75" s="83"/>
      <c r="Y75" s="83"/>
      <c r="Z75" s="83"/>
      <c r="AA75" s="83"/>
      <c r="AB75" s="83"/>
      <c r="AC75" s="83"/>
      <c r="AD75" s="84">
        <v>0.001</v>
      </c>
      <c r="AE75" s="95"/>
      <c r="AF75" s="83"/>
      <c r="AG75" s="83"/>
      <c r="AH75" s="83"/>
      <c r="AI75" s="83">
        <f>2.063+0.1+0.154</f>
        <v>2.317</v>
      </c>
      <c r="AJ75" s="83"/>
    </row>
    <row r="76" spans="1:36" s="79" customFormat="1" ht="60">
      <c r="A76" s="87" t="s">
        <v>191</v>
      </c>
      <c r="B76" s="35" t="s">
        <v>192</v>
      </c>
      <c r="C76" s="88">
        <v>0.94421122</v>
      </c>
      <c r="D76" s="92">
        <v>0</v>
      </c>
      <c r="E76" s="91">
        <f>C76*0.2</f>
        <v>0.18884224400000002</v>
      </c>
      <c r="F76" s="91">
        <f>C76*0.8</f>
        <v>0.7553689760000001</v>
      </c>
      <c r="G76" s="91">
        <v>0</v>
      </c>
      <c r="H76" s="93">
        <v>0</v>
      </c>
      <c r="I76" s="92">
        <v>0</v>
      </c>
      <c r="J76" s="92">
        <v>0</v>
      </c>
      <c r="K76" s="92">
        <v>0</v>
      </c>
      <c r="L76" s="92">
        <v>0</v>
      </c>
      <c r="M76" s="93">
        <f aca="true" t="shared" si="28" ref="M76:Q79">H76-C76</f>
        <v>-0.94421122</v>
      </c>
      <c r="N76" s="93">
        <f t="shared" si="28"/>
        <v>0</v>
      </c>
      <c r="O76" s="93">
        <f t="shared" si="28"/>
        <v>-0.18884224400000002</v>
      </c>
      <c r="P76" s="93">
        <f t="shared" si="28"/>
        <v>-0.7553689760000001</v>
      </c>
      <c r="Q76" s="93">
        <f t="shared" si="28"/>
        <v>0</v>
      </c>
      <c r="R76" s="93">
        <f aca="true" t="shared" si="29" ref="R76:V79">H76</f>
        <v>0</v>
      </c>
      <c r="S76" s="93">
        <f t="shared" si="29"/>
        <v>0</v>
      </c>
      <c r="T76" s="93">
        <f t="shared" si="29"/>
        <v>0</v>
      </c>
      <c r="U76" s="93">
        <f t="shared" si="29"/>
        <v>0</v>
      </c>
      <c r="V76" s="93">
        <f t="shared" si="29"/>
        <v>0</v>
      </c>
      <c r="W76" s="83"/>
      <c r="X76" s="83"/>
      <c r="Y76" s="83"/>
      <c r="Z76" s="83"/>
      <c r="AA76" s="83"/>
      <c r="AB76" s="83"/>
      <c r="AC76" s="83"/>
      <c r="AD76" s="83"/>
      <c r="AE76" s="95"/>
      <c r="AF76" s="83"/>
      <c r="AG76" s="83"/>
      <c r="AH76" s="83"/>
      <c r="AI76" s="83"/>
      <c r="AJ76" s="83"/>
    </row>
    <row r="77" spans="1:36" s="79" customFormat="1" ht="30">
      <c r="A77" s="87" t="s">
        <v>193</v>
      </c>
      <c r="B77" s="35" t="s">
        <v>194</v>
      </c>
      <c r="C77" s="88">
        <v>2.03324502</v>
      </c>
      <c r="D77" s="92">
        <v>0</v>
      </c>
      <c r="E77" s="91">
        <f>C77*0.2</f>
        <v>0.406649004</v>
      </c>
      <c r="F77" s="91">
        <f>C77*0.8</f>
        <v>1.626596016</v>
      </c>
      <c r="G77" s="91">
        <v>0</v>
      </c>
      <c r="H77" s="93">
        <v>0</v>
      </c>
      <c r="I77" s="92">
        <v>0</v>
      </c>
      <c r="J77" s="92">
        <v>0</v>
      </c>
      <c r="K77" s="92">
        <v>0</v>
      </c>
      <c r="L77" s="92">
        <v>0</v>
      </c>
      <c r="M77" s="93">
        <f t="shared" si="28"/>
        <v>-2.03324502</v>
      </c>
      <c r="N77" s="93">
        <f t="shared" si="28"/>
        <v>0</v>
      </c>
      <c r="O77" s="93">
        <f t="shared" si="28"/>
        <v>-0.406649004</v>
      </c>
      <c r="P77" s="93">
        <f t="shared" si="28"/>
        <v>-1.626596016</v>
      </c>
      <c r="Q77" s="93">
        <f t="shared" si="28"/>
        <v>0</v>
      </c>
      <c r="R77" s="93">
        <f t="shared" si="29"/>
        <v>0</v>
      </c>
      <c r="S77" s="93">
        <f t="shared" si="29"/>
        <v>0</v>
      </c>
      <c r="T77" s="93">
        <f t="shared" si="29"/>
        <v>0</v>
      </c>
      <c r="U77" s="93">
        <f t="shared" si="29"/>
        <v>0</v>
      </c>
      <c r="V77" s="93">
        <f t="shared" si="29"/>
        <v>0</v>
      </c>
      <c r="W77" s="83"/>
      <c r="X77" s="83"/>
      <c r="Y77" s="83"/>
      <c r="Z77" s="83"/>
      <c r="AA77" s="83"/>
      <c r="AB77" s="83"/>
      <c r="AC77" s="83"/>
      <c r="AD77" s="83"/>
      <c r="AE77" s="95"/>
      <c r="AF77" s="83"/>
      <c r="AG77" s="83"/>
      <c r="AH77" s="83"/>
      <c r="AI77" s="83"/>
      <c r="AJ77" s="83"/>
    </row>
    <row r="78" spans="1:36" s="1" customFormat="1" ht="45">
      <c r="A78" s="87" t="s">
        <v>195</v>
      </c>
      <c r="B78" s="35" t="s">
        <v>204</v>
      </c>
      <c r="C78" s="93">
        <v>0</v>
      </c>
      <c r="D78" s="92">
        <v>0</v>
      </c>
      <c r="E78" s="92">
        <v>0</v>
      </c>
      <c r="F78" s="92">
        <v>0</v>
      </c>
      <c r="G78" s="93">
        <v>0</v>
      </c>
      <c r="H78" s="92">
        <v>1.3415030599999997</v>
      </c>
      <c r="I78" s="92">
        <v>0</v>
      </c>
      <c r="J78" s="91">
        <f>H78*0.2</f>
        <v>0.26830061199999994</v>
      </c>
      <c r="K78" s="91">
        <f>H78*0.8</f>
        <v>1.0732024479999998</v>
      </c>
      <c r="L78" s="91">
        <v>0</v>
      </c>
      <c r="M78" s="93">
        <f t="shared" si="28"/>
        <v>1.3415030599999997</v>
      </c>
      <c r="N78" s="93">
        <f t="shared" si="28"/>
        <v>0</v>
      </c>
      <c r="O78" s="93">
        <f t="shared" si="28"/>
        <v>0.26830061199999994</v>
      </c>
      <c r="P78" s="93">
        <f t="shared" si="28"/>
        <v>1.0732024479999998</v>
      </c>
      <c r="Q78" s="93">
        <f t="shared" si="28"/>
        <v>0</v>
      </c>
      <c r="R78" s="93">
        <f t="shared" si="29"/>
        <v>1.3415030599999997</v>
      </c>
      <c r="S78" s="93">
        <f t="shared" si="29"/>
        <v>0</v>
      </c>
      <c r="T78" s="93">
        <f t="shared" si="29"/>
        <v>0.26830061199999994</v>
      </c>
      <c r="U78" s="93">
        <f t="shared" si="29"/>
        <v>1.0732024479999998</v>
      </c>
      <c r="V78" s="93">
        <f t="shared" si="29"/>
        <v>0</v>
      </c>
      <c r="W78" s="84"/>
      <c r="X78" s="84"/>
      <c r="Y78" s="84"/>
      <c r="Z78" s="84"/>
      <c r="AA78" s="95">
        <v>2016</v>
      </c>
      <c r="AB78" s="95">
        <v>25</v>
      </c>
      <c r="AC78" s="84" t="s">
        <v>243</v>
      </c>
      <c r="AD78" s="84">
        <v>0.001</v>
      </c>
      <c r="AE78" s="95">
        <v>2016</v>
      </c>
      <c r="AF78" s="95">
        <v>30</v>
      </c>
      <c r="AG78" s="84"/>
      <c r="AH78" s="84" t="s">
        <v>244</v>
      </c>
      <c r="AI78" s="84" t="s">
        <v>245</v>
      </c>
      <c r="AJ78" s="84"/>
    </row>
    <row r="79" spans="1:36" s="1" customFormat="1" ht="30">
      <c r="A79" s="87" t="s">
        <v>197</v>
      </c>
      <c r="B79" s="35" t="s">
        <v>206</v>
      </c>
      <c r="C79" s="93">
        <v>0</v>
      </c>
      <c r="D79" s="92">
        <v>0</v>
      </c>
      <c r="E79" s="92">
        <v>0</v>
      </c>
      <c r="F79" s="92">
        <v>0</v>
      </c>
      <c r="G79" s="93">
        <v>0</v>
      </c>
      <c r="H79" s="92">
        <v>0.0023599999999999997</v>
      </c>
      <c r="I79" s="92">
        <v>0</v>
      </c>
      <c r="J79" s="91">
        <f>H79*0.2</f>
        <v>0.000472</v>
      </c>
      <c r="K79" s="91">
        <f>H79*0.8</f>
        <v>0.001888</v>
      </c>
      <c r="L79" s="91">
        <v>0</v>
      </c>
      <c r="M79" s="93">
        <f t="shared" si="28"/>
        <v>0.0023599999999999997</v>
      </c>
      <c r="N79" s="93">
        <f t="shared" si="28"/>
        <v>0</v>
      </c>
      <c r="O79" s="93">
        <f t="shared" si="28"/>
        <v>0.000472</v>
      </c>
      <c r="P79" s="93">
        <f t="shared" si="28"/>
        <v>0.001888</v>
      </c>
      <c r="Q79" s="93">
        <f t="shared" si="28"/>
        <v>0</v>
      </c>
      <c r="R79" s="93">
        <f t="shared" si="29"/>
        <v>0.0023599999999999997</v>
      </c>
      <c r="S79" s="93">
        <f t="shared" si="29"/>
        <v>0</v>
      </c>
      <c r="T79" s="93">
        <f t="shared" si="29"/>
        <v>0.000472</v>
      </c>
      <c r="U79" s="93">
        <f t="shared" si="29"/>
        <v>0.001888</v>
      </c>
      <c r="V79" s="93">
        <f t="shared" si="29"/>
        <v>0</v>
      </c>
      <c r="W79" s="84"/>
      <c r="X79" s="84"/>
      <c r="Y79" s="84"/>
      <c r="Z79" s="84"/>
      <c r="AA79" s="84"/>
      <c r="AB79" s="84"/>
      <c r="AC79" s="84"/>
      <c r="AD79" s="84"/>
      <c r="AE79" s="95">
        <v>2016</v>
      </c>
      <c r="AF79" s="95">
        <v>30</v>
      </c>
      <c r="AG79" s="84"/>
      <c r="AH79" s="84" t="s">
        <v>246</v>
      </c>
      <c r="AI79" s="84">
        <v>0.154</v>
      </c>
      <c r="AJ79" s="84"/>
    </row>
    <row r="80" spans="1:37" s="79" customFormat="1" ht="20.25" customHeight="1">
      <c r="A80" s="86" t="s">
        <v>207</v>
      </c>
      <c r="B80" s="85" t="s">
        <v>208</v>
      </c>
      <c r="C80" s="83">
        <f aca="true" t="shared" si="30" ref="C80:V80">SUM(C81:C82)</f>
        <v>0</v>
      </c>
      <c r="D80" s="83">
        <f t="shared" si="30"/>
        <v>0</v>
      </c>
      <c r="E80" s="83">
        <f t="shared" si="30"/>
        <v>0</v>
      </c>
      <c r="F80" s="83">
        <f t="shared" si="30"/>
        <v>0</v>
      </c>
      <c r="G80" s="83">
        <f t="shared" si="30"/>
        <v>0</v>
      </c>
      <c r="H80" s="84">
        <f t="shared" si="30"/>
        <v>3.9613599459999995</v>
      </c>
      <c r="I80" s="84">
        <f t="shared" si="30"/>
        <v>0</v>
      </c>
      <c r="J80" s="84">
        <f t="shared" si="30"/>
        <v>0</v>
      </c>
      <c r="K80" s="84">
        <f t="shared" si="30"/>
        <v>0</v>
      </c>
      <c r="L80" s="84">
        <f t="shared" si="30"/>
        <v>3.9613599459999995</v>
      </c>
      <c r="M80" s="83">
        <f t="shared" si="30"/>
        <v>3.9613599459999995</v>
      </c>
      <c r="N80" s="83">
        <f t="shared" si="30"/>
        <v>0</v>
      </c>
      <c r="O80" s="83">
        <f t="shared" si="30"/>
        <v>0</v>
      </c>
      <c r="P80" s="83">
        <f t="shared" si="30"/>
        <v>0</v>
      </c>
      <c r="Q80" s="83">
        <f t="shared" si="30"/>
        <v>3.9613599459999995</v>
      </c>
      <c r="R80" s="83">
        <f t="shared" si="30"/>
        <v>3.9613599459999995</v>
      </c>
      <c r="S80" s="83">
        <f t="shared" si="30"/>
        <v>0</v>
      </c>
      <c r="T80" s="83">
        <f t="shared" si="30"/>
        <v>0</v>
      </c>
      <c r="U80" s="83">
        <f t="shared" si="30"/>
        <v>0</v>
      </c>
      <c r="V80" s="83">
        <f t="shared" si="30"/>
        <v>3.9613599459999995</v>
      </c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96" t="s">
        <v>247</v>
      </c>
    </row>
    <row r="81" spans="1:37" s="1" customFormat="1" ht="20.25" customHeight="1">
      <c r="A81" s="86" t="s">
        <v>209</v>
      </c>
      <c r="B81" s="35" t="s">
        <v>212</v>
      </c>
      <c r="C81" s="31">
        <f>SUM(D81:G81)</f>
        <v>0</v>
      </c>
      <c r="D81" s="31">
        <v>0</v>
      </c>
      <c r="E81" s="31">
        <v>0</v>
      </c>
      <c r="F81" s="31">
        <v>0</v>
      </c>
      <c r="G81" s="31">
        <v>0</v>
      </c>
      <c r="H81" s="97">
        <f>SUM(I81:L81)</f>
        <v>3.8999999459999994</v>
      </c>
      <c r="I81" s="31">
        <f>O81</f>
        <v>0</v>
      </c>
      <c r="J81" s="92">
        <v>0</v>
      </c>
      <c r="K81" s="92">
        <v>0</v>
      </c>
      <c r="L81" s="31">
        <f>3305.0847*1.18/1000</f>
        <v>3.8999999459999994</v>
      </c>
      <c r="M81" s="93">
        <f aca="true" t="shared" si="31" ref="M81:Q82">H81-C81</f>
        <v>3.8999999459999994</v>
      </c>
      <c r="N81" s="93">
        <f t="shared" si="31"/>
        <v>0</v>
      </c>
      <c r="O81" s="93">
        <f t="shared" si="31"/>
        <v>0</v>
      </c>
      <c r="P81" s="93">
        <f t="shared" si="31"/>
        <v>0</v>
      </c>
      <c r="Q81" s="93">
        <f t="shared" si="31"/>
        <v>3.8999999459999994</v>
      </c>
      <c r="R81" s="93">
        <f aca="true" t="shared" si="32" ref="R81:V82">H81</f>
        <v>3.8999999459999994</v>
      </c>
      <c r="S81" s="93">
        <f t="shared" si="32"/>
        <v>0</v>
      </c>
      <c r="T81" s="93">
        <f t="shared" si="32"/>
        <v>0</v>
      </c>
      <c r="U81" s="93">
        <f t="shared" si="32"/>
        <v>0</v>
      </c>
      <c r="V81" s="93">
        <f t="shared" si="32"/>
        <v>3.8999999459999994</v>
      </c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98"/>
    </row>
    <row r="82" spans="1:37" s="1" customFormat="1" ht="15">
      <c r="A82" s="86" t="s">
        <v>248</v>
      </c>
      <c r="B82" s="35" t="s">
        <v>214</v>
      </c>
      <c r="C82" s="31">
        <f>SUM(D82:G82)</f>
        <v>0</v>
      </c>
      <c r="D82" s="31">
        <v>0</v>
      </c>
      <c r="E82" s="31">
        <v>0</v>
      </c>
      <c r="F82" s="31">
        <v>0</v>
      </c>
      <c r="G82" s="31">
        <v>0</v>
      </c>
      <c r="H82" s="97">
        <f>SUM(I82:L82)</f>
        <v>0.06136</v>
      </c>
      <c r="I82" s="31">
        <f>O82</f>
        <v>0</v>
      </c>
      <c r="J82" s="92">
        <v>0</v>
      </c>
      <c r="K82" s="92">
        <v>0</v>
      </c>
      <c r="L82" s="53">
        <f>52*1.18/1000</f>
        <v>0.06136</v>
      </c>
      <c r="M82" s="93">
        <f t="shared" si="31"/>
        <v>0.06136</v>
      </c>
      <c r="N82" s="93">
        <f t="shared" si="31"/>
        <v>0</v>
      </c>
      <c r="O82" s="93">
        <f t="shared" si="31"/>
        <v>0</v>
      </c>
      <c r="P82" s="93">
        <f t="shared" si="31"/>
        <v>0</v>
      </c>
      <c r="Q82" s="93">
        <f t="shared" si="31"/>
        <v>0.06136</v>
      </c>
      <c r="R82" s="93">
        <f t="shared" si="32"/>
        <v>0.06136</v>
      </c>
      <c r="S82" s="93">
        <f t="shared" si="32"/>
        <v>0</v>
      </c>
      <c r="T82" s="93">
        <f t="shared" si="32"/>
        <v>0</v>
      </c>
      <c r="U82" s="93">
        <f t="shared" si="32"/>
        <v>0</v>
      </c>
      <c r="V82" s="93">
        <f t="shared" si="32"/>
        <v>0.06136</v>
      </c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98"/>
    </row>
    <row r="83" spans="1:256" ht="12.75">
      <c r="A83"/>
      <c r="B83"/>
      <c r="C83"/>
      <c r="D83"/>
      <c r="E83"/>
      <c r="F83"/>
      <c r="G83"/>
      <c r="H83" s="99"/>
      <c r="I83" s="99"/>
      <c r="J83" s="99"/>
      <c r="K83" s="99"/>
      <c r="L83" s="99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6" spans="1:20" ht="26.25" customHeight="1">
      <c r="A86" s="211" t="s">
        <v>215</v>
      </c>
      <c r="B86" s="211"/>
      <c r="C86" s="211"/>
      <c r="D86" s="211"/>
      <c r="R86" s="211" t="s">
        <v>216</v>
      </c>
      <c r="S86" s="211"/>
      <c r="T86" s="211"/>
    </row>
    <row r="88" spans="3:18" ht="15.75">
      <c r="C88" s="75"/>
      <c r="H88" s="100"/>
      <c r="I88" s="77"/>
      <c r="J88" s="77"/>
      <c r="K88" s="77"/>
      <c r="L88" s="77"/>
      <c r="M88" s="75"/>
      <c r="N88" s="75"/>
      <c r="O88" s="75"/>
      <c r="P88" s="75"/>
      <c r="Q88" s="75"/>
      <c r="R88" s="75"/>
    </row>
  </sheetData>
  <sheetProtection selectLockedCells="1" selectUnlockedCells="1"/>
  <mergeCells count="42">
    <mergeCell ref="AG8:AJ8"/>
    <mergeCell ref="AG9:AJ9"/>
    <mergeCell ref="AG10:AJ10"/>
    <mergeCell ref="AG11:AJ11"/>
    <mergeCell ref="AG1:AJ1"/>
    <mergeCell ref="AG2:AJ2"/>
    <mergeCell ref="AG3:AJ3"/>
    <mergeCell ref="AG6:AJ6"/>
    <mergeCell ref="A13:AJ13"/>
    <mergeCell ref="A15:A17"/>
    <mergeCell ref="B15:B17"/>
    <mergeCell ref="C15:G15"/>
    <mergeCell ref="H15:L15"/>
    <mergeCell ref="M15:Q15"/>
    <mergeCell ref="R15:V15"/>
    <mergeCell ref="W15:AJ15"/>
    <mergeCell ref="C16:C17"/>
    <mergeCell ref="D16:D17"/>
    <mergeCell ref="I16:I17"/>
    <mergeCell ref="J16:J17"/>
    <mergeCell ref="K16:K17"/>
    <mergeCell ref="L16:L17"/>
    <mergeCell ref="E16:E17"/>
    <mergeCell ref="F16:F17"/>
    <mergeCell ref="G16:G17"/>
    <mergeCell ref="H16:H17"/>
    <mergeCell ref="S16:S17"/>
    <mergeCell ref="T16:T17"/>
    <mergeCell ref="M16:M17"/>
    <mergeCell ref="N16:N17"/>
    <mergeCell ref="O16:O17"/>
    <mergeCell ref="P16:P17"/>
    <mergeCell ref="AE16:AI16"/>
    <mergeCell ref="AJ16:AJ17"/>
    <mergeCell ref="A86:D86"/>
    <mergeCell ref="R86:T86"/>
    <mergeCell ref="U16:U17"/>
    <mergeCell ref="V16:V17"/>
    <mergeCell ref="W16:Z16"/>
    <mergeCell ref="AA16:AD16"/>
    <mergeCell ref="Q16:Q17"/>
    <mergeCell ref="R16:R17"/>
  </mergeCells>
  <dataValidations count="1">
    <dataValidation type="textLength" operator="lessThanOrEqual" allowBlank="1" showErrorMessage="1" errorTitle="Ошибка" error="Допускается ввод не более 900 символов!" sqref="B68:B74 B78:B79 B81">
      <formula1>900</formula1>
    </dataValidation>
  </dataValidations>
  <printOptions/>
  <pageMargins left="0.19652777777777777" right="0.19652777777777777" top="0.27569444444444446" bottom="0.27569444444444446" header="0.5118055555555555" footer="0.5118055555555555"/>
  <pageSetup fitToHeight="4" fitToWidth="1" horizontalDpi="300" verticalDpi="300" orientation="landscape" paperSize="9" scale="38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60" zoomScaleSheetLayoutView="85" zoomScalePageLayoutView="0" workbookViewId="0" topLeftCell="A13">
      <selection activeCell="B34" sqref="B34:I34"/>
    </sheetView>
  </sheetViews>
  <sheetFormatPr defaultColWidth="13.125" defaultRowHeight="12.75"/>
  <cols>
    <col min="1" max="1" width="13.875" style="101" customWidth="1"/>
    <col min="2" max="2" width="29.25390625" style="101" customWidth="1"/>
    <col min="3" max="8" width="13.125" style="101" customWidth="1"/>
    <col min="9" max="9" width="14.75390625" style="101" customWidth="1"/>
    <col min="10" max="10" width="18.25390625" style="101" customWidth="1"/>
    <col min="11" max="16384" width="13.125" style="101" customWidth="1"/>
  </cols>
  <sheetData>
    <row r="1" spans="7:10" ht="12.75" customHeight="1">
      <c r="G1" s="102"/>
      <c r="H1" s="72"/>
      <c r="I1" s="233" t="s">
        <v>435</v>
      </c>
      <c r="J1" s="233"/>
    </row>
    <row r="2" spans="7:10" ht="12.75" customHeight="1">
      <c r="G2" s="102"/>
      <c r="H2" s="72"/>
      <c r="I2" s="233" t="s">
        <v>1</v>
      </c>
      <c r="J2" s="233"/>
    </row>
    <row r="3" spans="7:10" ht="12.75" customHeight="1">
      <c r="G3" s="102"/>
      <c r="H3" s="72"/>
      <c r="I3" s="233" t="s">
        <v>436</v>
      </c>
      <c r="J3" s="233"/>
    </row>
    <row r="4" spans="7:10" ht="12.75" customHeight="1">
      <c r="G4" s="103"/>
      <c r="H4" s="104"/>
      <c r="I4" s="103"/>
      <c r="J4" s="103"/>
    </row>
    <row r="5" spans="7:10" ht="12.75" customHeight="1">
      <c r="G5" s="103"/>
      <c r="H5" s="104"/>
      <c r="I5" s="103"/>
      <c r="J5" s="103"/>
    </row>
    <row r="6" spans="1:10" ht="12.75" customHeight="1">
      <c r="A6" s="235" t="s">
        <v>250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2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7:10" ht="69.75" customHeight="1">
      <c r="G9" s="102"/>
      <c r="H9" s="236" t="s">
        <v>251</v>
      </c>
      <c r="I9" s="236"/>
      <c r="J9" s="236"/>
    </row>
    <row r="10" spans="7:10" ht="12.75">
      <c r="G10" s="102"/>
      <c r="H10" s="72"/>
      <c r="I10" s="72"/>
      <c r="J10" s="72"/>
    </row>
    <row r="11" spans="7:10" ht="12.75">
      <c r="G11" s="102"/>
      <c r="H11" s="106"/>
      <c r="I11" s="107"/>
      <c r="J11" s="107"/>
    </row>
    <row r="12" spans="7:10" ht="12.75">
      <c r="G12" s="102"/>
      <c r="H12" s="106"/>
      <c r="I12" s="106"/>
      <c r="J12" s="106" t="s">
        <v>4</v>
      </c>
    </row>
    <row r="13" spans="8:10" ht="27" customHeight="1">
      <c r="H13" s="106"/>
      <c r="I13" s="106"/>
      <c r="J13" s="108" t="s">
        <v>5</v>
      </c>
    </row>
    <row r="14" spans="8:10" ht="12.75">
      <c r="H14" s="106"/>
      <c r="I14" s="106"/>
      <c r="J14" s="106" t="s">
        <v>7</v>
      </c>
    </row>
    <row r="15" spans="1:10" ht="16.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</row>
    <row r="16" ht="15.75">
      <c r="A16" s="109"/>
    </row>
    <row r="17" spans="1:2" ht="15">
      <c r="A17" s="110" t="s">
        <v>252</v>
      </c>
      <c r="B17" s="111"/>
    </row>
    <row r="18" spans="1:2" ht="15">
      <c r="A18" s="112"/>
      <c r="B18" s="111"/>
    </row>
    <row r="19" spans="1:2" ht="15">
      <c r="A19" s="110" t="s">
        <v>253</v>
      </c>
      <c r="B19" s="111"/>
    </row>
    <row r="21" spans="1:10" s="96" customFormat="1" ht="13.5" customHeight="1">
      <c r="A21" s="225" t="s">
        <v>254</v>
      </c>
      <c r="B21" s="225" t="s">
        <v>255</v>
      </c>
      <c r="C21" s="225" t="s">
        <v>256</v>
      </c>
      <c r="D21" s="225"/>
      <c r="E21" s="225"/>
      <c r="F21" s="225"/>
      <c r="G21" s="225" t="s">
        <v>257</v>
      </c>
      <c r="H21" s="225" t="s">
        <v>258</v>
      </c>
      <c r="I21" s="225" t="s">
        <v>259</v>
      </c>
      <c r="J21" s="225" t="s">
        <v>260</v>
      </c>
    </row>
    <row r="22" spans="1:10" s="96" customFormat="1" ht="18" customHeight="1">
      <c r="A22" s="225"/>
      <c r="B22" s="225"/>
      <c r="C22" s="225" t="s">
        <v>261</v>
      </c>
      <c r="D22" s="225"/>
      <c r="E22" s="225" t="s">
        <v>262</v>
      </c>
      <c r="F22" s="225"/>
      <c r="G22" s="225"/>
      <c r="H22" s="225"/>
      <c r="I22" s="225"/>
      <c r="J22" s="225"/>
    </row>
    <row r="23" spans="1:10" s="96" customFormat="1" ht="59.25" customHeight="1">
      <c r="A23" s="225"/>
      <c r="B23" s="225"/>
      <c r="C23" s="80" t="s">
        <v>263</v>
      </c>
      <c r="D23" s="80" t="s">
        <v>264</v>
      </c>
      <c r="E23" s="80" t="s">
        <v>263</v>
      </c>
      <c r="F23" s="80" t="s">
        <v>264</v>
      </c>
      <c r="G23" s="225"/>
      <c r="H23" s="225"/>
      <c r="I23" s="225"/>
      <c r="J23" s="225"/>
    </row>
    <row r="24" spans="1:10" s="96" customFormat="1" ht="15">
      <c r="A24" s="80" t="s">
        <v>265</v>
      </c>
      <c r="B24" s="80" t="s">
        <v>189</v>
      </c>
      <c r="C24" s="80" t="s">
        <v>207</v>
      </c>
      <c r="D24" s="80" t="s">
        <v>266</v>
      </c>
      <c r="E24" s="80" t="s">
        <v>267</v>
      </c>
      <c r="F24" s="80" t="s">
        <v>268</v>
      </c>
      <c r="G24" s="80" t="s">
        <v>269</v>
      </c>
      <c r="H24" s="80" t="s">
        <v>270</v>
      </c>
      <c r="I24" s="80" t="s">
        <v>271</v>
      </c>
      <c r="J24" s="80" t="s">
        <v>272</v>
      </c>
    </row>
    <row r="25" spans="1:10" s="79" customFormat="1" ht="60">
      <c r="A25" s="41" t="s">
        <v>197</v>
      </c>
      <c r="B25" s="35" t="s">
        <v>198</v>
      </c>
      <c r="C25" s="80"/>
      <c r="D25" s="80"/>
      <c r="E25" s="80" t="s">
        <v>273</v>
      </c>
      <c r="F25" s="80" t="s">
        <v>273</v>
      </c>
      <c r="G25" s="113">
        <v>1</v>
      </c>
      <c r="H25" s="113">
        <v>1</v>
      </c>
      <c r="I25" s="80"/>
      <c r="J25" s="80"/>
    </row>
    <row r="26" spans="1:10" s="79" customFormat="1" ht="60">
      <c r="A26" s="41" t="s">
        <v>199</v>
      </c>
      <c r="B26" s="35" t="s">
        <v>200</v>
      </c>
      <c r="C26" s="80"/>
      <c r="D26" s="80"/>
      <c r="E26" s="80" t="s">
        <v>273</v>
      </c>
      <c r="F26" s="80"/>
      <c r="G26" s="113">
        <v>1</v>
      </c>
      <c r="H26" s="113">
        <v>1</v>
      </c>
      <c r="I26" s="80"/>
      <c r="J26" s="80"/>
    </row>
    <row r="27" spans="1:10" s="79" customFormat="1" ht="45">
      <c r="A27" s="41" t="s">
        <v>201</v>
      </c>
      <c r="B27" s="35" t="s">
        <v>274</v>
      </c>
      <c r="C27" s="80"/>
      <c r="D27" s="80"/>
      <c r="E27" s="80" t="s">
        <v>273</v>
      </c>
      <c r="F27" s="80"/>
      <c r="G27" s="113">
        <v>1</v>
      </c>
      <c r="H27" s="113">
        <v>1</v>
      </c>
      <c r="I27" s="80"/>
      <c r="J27" s="80"/>
    </row>
    <row r="28" spans="1:10" s="79" customFormat="1" ht="75">
      <c r="A28" s="41" t="s">
        <v>203</v>
      </c>
      <c r="B28" s="35" t="s">
        <v>196</v>
      </c>
      <c r="C28" s="80"/>
      <c r="D28" s="80"/>
      <c r="E28" s="80" t="s">
        <v>273</v>
      </c>
      <c r="F28" s="80" t="s">
        <v>273</v>
      </c>
      <c r="G28" s="113">
        <v>1</v>
      </c>
      <c r="H28" s="113">
        <v>1</v>
      </c>
      <c r="I28" s="80"/>
      <c r="J28" s="80"/>
    </row>
    <row r="29" spans="1:10" s="79" customFormat="1" ht="90">
      <c r="A29" s="41" t="s">
        <v>205</v>
      </c>
      <c r="B29" s="35" t="s">
        <v>204</v>
      </c>
      <c r="C29" s="80"/>
      <c r="D29" s="80"/>
      <c r="E29" s="80" t="s">
        <v>273</v>
      </c>
      <c r="F29" s="80" t="s">
        <v>273</v>
      </c>
      <c r="G29" s="113">
        <v>1</v>
      </c>
      <c r="H29" s="113">
        <v>1</v>
      </c>
      <c r="I29" s="80"/>
      <c r="J29" s="80"/>
    </row>
    <row r="30" spans="1:10" s="79" customFormat="1" ht="75">
      <c r="A30" s="41" t="s">
        <v>275</v>
      </c>
      <c r="B30" s="35" t="s">
        <v>206</v>
      </c>
      <c r="C30" s="80"/>
      <c r="D30" s="80"/>
      <c r="E30" s="80" t="s">
        <v>273</v>
      </c>
      <c r="F30" s="80" t="s">
        <v>273</v>
      </c>
      <c r="G30" s="113">
        <v>1</v>
      </c>
      <c r="H30" s="113">
        <v>1</v>
      </c>
      <c r="I30" s="80"/>
      <c r="J30" s="80"/>
    </row>
    <row r="34" spans="2:9" ht="23.25">
      <c r="B34" s="171" t="s">
        <v>276</v>
      </c>
      <c r="C34" s="171"/>
      <c r="D34" s="171"/>
      <c r="E34" s="171"/>
      <c r="F34" s="171"/>
      <c r="G34" s="171"/>
      <c r="H34" s="171"/>
      <c r="I34" s="171" t="s">
        <v>216</v>
      </c>
    </row>
  </sheetData>
  <sheetProtection selectLockedCells="1" selectUnlockedCells="1"/>
  <mergeCells count="15">
    <mergeCell ref="G21:G23"/>
    <mergeCell ref="H21:H23"/>
    <mergeCell ref="I21:I23"/>
    <mergeCell ref="C22:D22"/>
    <mergeCell ref="E22:F22"/>
    <mergeCell ref="A21:A23"/>
    <mergeCell ref="B21:B23"/>
    <mergeCell ref="J21:J23"/>
    <mergeCell ref="I1:J1"/>
    <mergeCell ref="I2:J2"/>
    <mergeCell ref="I3:J3"/>
    <mergeCell ref="A6:J6"/>
    <mergeCell ref="H9:J9"/>
    <mergeCell ref="A15:J15"/>
    <mergeCell ref="C21:F21"/>
  </mergeCells>
  <dataValidations count="1">
    <dataValidation type="textLength" operator="lessThanOrEqual" allowBlank="1" showErrorMessage="1" errorTitle="Ошибка" error="Допускается ввод не более 900 символов!" sqref="B29:B30">
      <formula1>900</formula1>
    </dataValidation>
  </dataValidations>
  <printOptions/>
  <pageMargins left="0.7875" right="0.7875" top="1.0527777777777778" bottom="1.0527777777777778" header="0.5118055555555555" footer="0.5118055555555555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54"/>
  <sheetViews>
    <sheetView view="pageBreakPreview" zoomScale="85" zoomScaleNormal="60" zoomScaleSheetLayoutView="85" zoomScalePageLayoutView="0" workbookViewId="0" topLeftCell="A1">
      <selection activeCell="AX30" sqref="AX30:BF30"/>
    </sheetView>
  </sheetViews>
  <sheetFormatPr defaultColWidth="0.875" defaultRowHeight="12.75"/>
  <cols>
    <col min="1" max="154" width="0.875" style="114" customWidth="1"/>
    <col min="155" max="155" width="1.75390625" style="114" customWidth="1"/>
    <col min="156" max="157" width="0.875" style="114" customWidth="1"/>
    <col min="158" max="158" width="9.00390625" style="114" customWidth="1"/>
    <col min="159" max="165" width="0.875" style="114" customWidth="1"/>
    <col min="166" max="166" width="5.125" style="114" customWidth="1"/>
    <col min="167" max="16384" width="0.875" style="114" customWidth="1"/>
  </cols>
  <sheetData>
    <row r="2" spans="132:155" ht="9.75" customHeight="1"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 t="s">
        <v>277</v>
      </c>
    </row>
    <row r="3" spans="131:155" ht="9.75" customHeight="1"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5" t="s">
        <v>1</v>
      </c>
    </row>
    <row r="4" spans="131:155" ht="9.75" customHeight="1"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5" t="s">
        <v>2</v>
      </c>
    </row>
    <row r="5" spans="1:256" s="117" customFormat="1" ht="14.25" customHeight="1">
      <c r="A5" s="279" t="s">
        <v>278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s="119" customFormat="1" ht="14.25" customHeight="1">
      <c r="A6" s="280" t="s">
        <v>279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56:256" s="120" customFormat="1" ht="14.25" customHeight="1"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56:256" s="120" customFormat="1" ht="14.25" customHeight="1"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27:155" ht="109.5" customHeight="1">
      <c r="DW9" s="121"/>
      <c r="DX9" s="281" t="s">
        <v>280</v>
      </c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</row>
    <row r="10" spans="127:155" ht="12.75">
      <c r="DW10" s="121"/>
      <c r="DX10" s="122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</row>
    <row r="11" spans="127:155" ht="12" customHeight="1">
      <c r="DW11" s="124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</row>
    <row r="12" spans="127:155" ht="12" customHeight="1">
      <c r="DW12" s="121"/>
      <c r="DX12" s="283" t="s">
        <v>4</v>
      </c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3"/>
      <c r="EX12" s="283"/>
      <c r="EY12" s="283"/>
    </row>
    <row r="13" spans="127:155" ht="12" customHeight="1">
      <c r="DW13" s="284" t="s">
        <v>281</v>
      </c>
      <c r="DX13" s="284"/>
      <c r="DY13" s="285" t="s">
        <v>282</v>
      </c>
      <c r="DZ13" s="285"/>
      <c r="EA13" s="285"/>
      <c r="EB13" s="286" t="s">
        <v>281</v>
      </c>
      <c r="EC13" s="286"/>
      <c r="ED13" s="285" t="s">
        <v>283</v>
      </c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4">
        <v>20</v>
      </c>
      <c r="EP13" s="284"/>
      <c r="EQ13" s="284"/>
      <c r="ER13" s="287" t="s">
        <v>284</v>
      </c>
      <c r="ES13" s="287"/>
      <c r="ET13" s="287"/>
      <c r="EU13" s="121"/>
      <c r="EV13" s="125" t="s">
        <v>6</v>
      </c>
      <c r="EW13" s="121"/>
      <c r="EX13" s="121"/>
      <c r="EY13" s="125"/>
    </row>
    <row r="14" spans="127:155" ht="12"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6" t="s">
        <v>8</v>
      </c>
    </row>
    <row r="15" spans="127:155" ht="12"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6"/>
    </row>
    <row r="16" spans="127:155" ht="12"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6"/>
    </row>
    <row r="17" spans="127:155" ht="12"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6"/>
    </row>
    <row r="18" ht="6" customHeight="1"/>
    <row r="19" spans="1:155" ht="10.5" customHeight="1">
      <c r="A19" s="273" t="s">
        <v>219</v>
      </c>
      <c r="B19" s="273"/>
      <c r="C19" s="273"/>
      <c r="D19" s="273"/>
      <c r="E19" s="273"/>
      <c r="F19" s="273"/>
      <c r="G19" s="274" t="s">
        <v>285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5" t="s">
        <v>437</v>
      </c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6" t="s">
        <v>18</v>
      </c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</row>
    <row r="20" spans="1:155" ht="10.5" customHeight="1">
      <c r="A20" s="273"/>
      <c r="B20" s="273"/>
      <c r="C20" s="273"/>
      <c r="D20" s="273"/>
      <c r="E20" s="273"/>
      <c r="F20" s="273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7" t="s">
        <v>19</v>
      </c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8" t="s">
        <v>20</v>
      </c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 t="s">
        <v>21</v>
      </c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 t="s">
        <v>22</v>
      </c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 t="s">
        <v>23</v>
      </c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</row>
    <row r="21" spans="1:155" ht="10.5" customHeight="1">
      <c r="A21" s="273"/>
      <c r="B21" s="273"/>
      <c r="C21" s="273"/>
      <c r="D21" s="273"/>
      <c r="E21" s="273"/>
      <c r="F21" s="273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2" t="s">
        <v>286</v>
      </c>
      <c r="AP21" s="272"/>
      <c r="AQ21" s="272"/>
      <c r="AR21" s="272"/>
      <c r="AS21" s="272"/>
      <c r="AT21" s="272"/>
      <c r="AU21" s="272"/>
      <c r="AV21" s="272"/>
      <c r="AW21" s="272"/>
      <c r="AX21" s="268" t="s">
        <v>287</v>
      </c>
      <c r="AY21" s="268"/>
      <c r="AZ21" s="268"/>
      <c r="BA21" s="268"/>
      <c r="BB21" s="268"/>
      <c r="BC21" s="268"/>
      <c r="BD21" s="268"/>
      <c r="BE21" s="268"/>
      <c r="BF21" s="268"/>
      <c r="BG21" s="268" t="s">
        <v>261</v>
      </c>
      <c r="BH21" s="268"/>
      <c r="BI21" s="268"/>
      <c r="BJ21" s="268"/>
      <c r="BK21" s="268"/>
      <c r="BL21" s="268"/>
      <c r="BM21" s="268"/>
      <c r="BN21" s="268"/>
      <c r="BO21" s="268"/>
      <c r="BP21" s="268" t="s">
        <v>262</v>
      </c>
      <c r="BQ21" s="268"/>
      <c r="BR21" s="268"/>
      <c r="BS21" s="268"/>
      <c r="BT21" s="268"/>
      <c r="BU21" s="268"/>
      <c r="BV21" s="268"/>
      <c r="BW21" s="268"/>
      <c r="BX21" s="268"/>
      <c r="BY21" s="268" t="s">
        <v>261</v>
      </c>
      <c r="BZ21" s="268"/>
      <c r="CA21" s="268"/>
      <c r="CB21" s="268"/>
      <c r="CC21" s="268"/>
      <c r="CD21" s="268"/>
      <c r="CE21" s="268"/>
      <c r="CF21" s="268"/>
      <c r="CG21" s="268"/>
      <c r="CH21" s="268" t="s">
        <v>262</v>
      </c>
      <c r="CI21" s="268"/>
      <c r="CJ21" s="268"/>
      <c r="CK21" s="268"/>
      <c r="CL21" s="268"/>
      <c r="CM21" s="268"/>
      <c r="CN21" s="268"/>
      <c r="CO21" s="268"/>
      <c r="CP21" s="268"/>
      <c r="CQ21" s="268" t="s">
        <v>261</v>
      </c>
      <c r="CR21" s="268"/>
      <c r="CS21" s="268"/>
      <c r="CT21" s="268"/>
      <c r="CU21" s="268"/>
      <c r="CV21" s="268"/>
      <c r="CW21" s="268"/>
      <c r="CX21" s="268"/>
      <c r="CY21" s="268"/>
      <c r="CZ21" s="268" t="s">
        <v>262</v>
      </c>
      <c r="DA21" s="268"/>
      <c r="DB21" s="268"/>
      <c r="DC21" s="268"/>
      <c r="DD21" s="268"/>
      <c r="DE21" s="268"/>
      <c r="DF21" s="268"/>
      <c r="DG21" s="268"/>
      <c r="DH21" s="268"/>
      <c r="DI21" s="268" t="s">
        <v>261</v>
      </c>
      <c r="DJ21" s="268"/>
      <c r="DK21" s="268"/>
      <c r="DL21" s="268"/>
      <c r="DM21" s="268"/>
      <c r="DN21" s="268"/>
      <c r="DO21" s="268"/>
      <c r="DP21" s="268"/>
      <c r="DQ21" s="268"/>
      <c r="DR21" s="268" t="s">
        <v>262</v>
      </c>
      <c r="DS21" s="268"/>
      <c r="DT21" s="268"/>
      <c r="DU21" s="268"/>
      <c r="DV21" s="268"/>
      <c r="DW21" s="268"/>
      <c r="DX21" s="268"/>
      <c r="DY21" s="268"/>
      <c r="DZ21" s="268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</row>
    <row r="22" spans="1:158" ht="26.25" customHeight="1">
      <c r="A22" s="269" t="s">
        <v>288</v>
      </c>
      <c r="B22" s="269"/>
      <c r="C22" s="269"/>
      <c r="D22" s="269"/>
      <c r="E22" s="269"/>
      <c r="F22" s="269"/>
      <c r="G22" s="270" t="s">
        <v>289</v>
      </c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1">
        <f>AO23+AO30+AO34+AO35+AO37</f>
        <v>16.888110750000003</v>
      </c>
      <c r="AP22" s="271"/>
      <c r="AQ22" s="271"/>
      <c r="AR22" s="271"/>
      <c r="AS22" s="271"/>
      <c r="AT22" s="271"/>
      <c r="AU22" s="271"/>
      <c r="AV22" s="271"/>
      <c r="AW22" s="271"/>
      <c r="AX22" s="266">
        <f>AX23+AX30+AX34+AX35+AX37</f>
        <v>17.49399127576271</v>
      </c>
      <c r="AY22" s="266"/>
      <c r="AZ22" s="266"/>
      <c r="BA22" s="266"/>
      <c r="BB22" s="266"/>
      <c r="BC22" s="266"/>
      <c r="BD22" s="266"/>
      <c r="BE22" s="266"/>
      <c r="BF22" s="266"/>
      <c r="BG22" s="266">
        <f>BG23+BG30+BG34+BG35+BG37</f>
        <v>1.43873875</v>
      </c>
      <c r="BH22" s="266"/>
      <c r="BI22" s="266"/>
      <c r="BJ22" s="266"/>
      <c r="BK22" s="266"/>
      <c r="BL22" s="266"/>
      <c r="BM22" s="266"/>
      <c r="BN22" s="266"/>
      <c r="BO22" s="266"/>
      <c r="BP22" s="266">
        <f>BP23+BP30+BP34+BP35+BP37</f>
        <v>1.43873775</v>
      </c>
      <c r="BQ22" s="266"/>
      <c r="BR22" s="266"/>
      <c r="BS22" s="266"/>
      <c r="BT22" s="266"/>
      <c r="BU22" s="266"/>
      <c r="BV22" s="266"/>
      <c r="BW22" s="266"/>
      <c r="BX22" s="266"/>
      <c r="BY22" s="266">
        <f>BY23+BY30+BY34+BY35+BY37</f>
        <v>1.357034928</v>
      </c>
      <c r="BZ22" s="266"/>
      <c r="CA22" s="266"/>
      <c r="CB22" s="266"/>
      <c r="CC22" s="266"/>
      <c r="CD22" s="266"/>
      <c r="CE22" s="266"/>
      <c r="CF22" s="266"/>
      <c r="CG22" s="266"/>
      <c r="CH22" s="266">
        <f>CH23+CH30+CH34+CH35+CH37</f>
        <v>3.88615456</v>
      </c>
      <c r="CI22" s="266"/>
      <c r="CJ22" s="266"/>
      <c r="CK22" s="266"/>
      <c r="CL22" s="266"/>
      <c r="CM22" s="266"/>
      <c r="CN22" s="266"/>
      <c r="CO22" s="266"/>
      <c r="CP22" s="266"/>
      <c r="CQ22" s="266">
        <f>CQ23+CQ30+CQ34+CQ35+CQ37</f>
        <v>2.63310082399458</v>
      </c>
      <c r="CR22" s="266"/>
      <c r="CS22" s="266"/>
      <c r="CT22" s="266"/>
      <c r="CU22" s="266"/>
      <c r="CV22" s="266"/>
      <c r="CW22" s="266"/>
      <c r="CX22" s="266"/>
      <c r="CY22" s="266"/>
      <c r="CZ22" s="266">
        <f>CZ23+CZ30+CZ34+CZ35+CZ37</f>
        <v>1.06891356</v>
      </c>
      <c r="DA22" s="266"/>
      <c r="DB22" s="266"/>
      <c r="DC22" s="266"/>
      <c r="DD22" s="266"/>
      <c r="DE22" s="266"/>
      <c r="DF22" s="266"/>
      <c r="DG22" s="266"/>
      <c r="DH22" s="266"/>
      <c r="DI22" s="266">
        <f>DI23+DI30+DI34+DI35+DI37</f>
        <v>11.459236248005421</v>
      </c>
      <c r="DJ22" s="266"/>
      <c r="DK22" s="266"/>
      <c r="DL22" s="266"/>
      <c r="DM22" s="266"/>
      <c r="DN22" s="266"/>
      <c r="DO22" s="266"/>
      <c r="DP22" s="266"/>
      <c r="DQ22" s="266"/>
      <c r="DR22" s="266">
        <f>DR23+DR30+DR34+DR35+DR37</f>
        <v>11.100185405762709</v>
      </c>
      <c r="DS22" s="266"/>
      <c r="DT22" s="266"/>
      <c r="DU22" s="266"/>
      <c r="DV22" s="266"/>
      <c r="DW22" s="266"/>
      <c r="DX22" s="266"/>
      <c r="DY22" s="266"/>
      <c r="DZ22" s="266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FB22" s="127"/>
    </row>
    <row r="23" spans="1:155" ht="21" customHeight="1">
      <c r="A23" s="245" t="s">
        <v>290</v>
      </c>
      <c r="B23" s="245"/>
      <c r="C23" s="245"/>
      <c r="D23" s="245"/>
      <c r="E23" s="245"/>
      <c r="F23" s="245"/>
      <c r="G23" s="248" t="s">
        <v>291</v>
      </c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7">
        <f>AO24+AO25+AO26+AO29</f>
        <v>4.57889</v>
      </c>
      <c r="AP23" s="247"/>
      <c r="AQ23" s="247"/>
      <c r="AR23" s="247"/>
      <c r="AS23" s="247"/>
      <c r="AT23" s="247"/>
      <c r="AU23" s="247"/>
      <c r="AV23" s="247"/>
      <c r="AW23" s="247"/>
      <c r="AX23" s="243">
        <f>AX24+AX25+AX26+AX29</f>
        <v>5.124275595762708</v>
      </c>
      <c r="AY23" s="243"/>
      <c r="AZ23" s="243"/>
      <c r="BA23" s="243"/>
      <c r="BB23" s="243"/>
      <c r="BC23" s="243"/>
      <c r="BD23" s="243"/>
      <c r="BE23" s="243"/>
      <c r="BF23" s="243"/>
      <c r="BG23" s="243">
        <f>BG24+BG25+BG26+BG29</f>
        <v>0</v>
      </c>
      <c r="BH23" s="243"/>
      <c r="BI23" s="243"/>
      <c r="BJ23" s="243"/>
      <c r="BK23" s="243"/>
      <c r="BL23" s="243"/>
      <c r="BM23" s="243"/>
      <c r="BN23" s="243"/>
      <c r="BO23" s="243"/>
      <c r="BP23" s="243">
        <f>BP24+BP25+BP26+BP29</f>
        <v>0</v>
      </c>
      <c r="BQ23" s="243"/>
      <c r="BR23" s="243"/>
      <c r="BS23" s="243"/>
      <c r="BT23" s="243"/>
      <c r="BU23" s="243"/>
      <c r="BV23" s="243"/>
      <c r="BW23" s="243"/>
      <c r="BX23" s="243"/>
      <c r="BY23" s="243">
        <f>BY24+BY25+BY26+BY29</f>
        <v>0</v>
      </c>
      <c r="BZ23" s="243"/>
      <c r="CA23" s="243"/>
      <c r="CB23" s="243"/>
      <c r="CC23" s="243"/>
      <c r="CD23" s="243"/>
      <c r="CE23" s="243"/>
      <c r="CF23" s="243"/>
      <c r="CG23" s="243"/>
      <c r="CH23" s="243">
        <f>CH24+CH25+CH26+CH29</f>
        <v>0</v>
      </c>
      <c r="CI23" s="243"/>
      <c r="CJ23" s="243"/>
      <c r="CK23" s="243"/>
      <c r="CL23" s="243"/>
      <c r="CM23" s="243"/>
      <c r="CN23" s="243"/>
      <c r="CO23" s="243"/>
      <c r="CP23" s="243"/>
      <c r="CQ23" s="243">
        <f>CQ24+CQ25+CQ26+CQ29</f>
        <v>1.10400169544138</v>
      </c>
      <c r="CR23" s="243"/>
      <c r="CS23" s="243"/>
      <c r="CT23" s="243"/>
      <c r="CU23" s="243"/>
      <c r="CV23" s="243"/>
      <c r="CW23" s="243"/>
      <c r="CX23" s="243"/>
      <c r="CY23" s="243"/>
      <c r="CZ23" s="243">
        <f>CZ24+CZ25+CZ26+CZ29</f>
        <v>0.009741</v>
      </c>
      <c r="DA23" s="243"/>
      <c r="DB23" s="243"/>
      <c r="DC23" s="243"/>
      <c r="DD23" s="243"/>
      <c r="DE23" s="243"/>
      <c r="DF23" s="243"/>
      <c r="DG23" s="243"/>
      <c r="DH23" s="243"/>
      <c r="DI23" s="243">
        <f>DI24+DI25+DI26+DI29</f>
        <v>3.47488830455862</v>
      </c>
      <c r="DJ23" s="243"/>
      <c r="DK23" s="243"/>
      <c r="DL23" s="243"/>
      <c r="DM23" s="243"/>
      <c r="DN23" s="243"/>
      <c r="DO23" s="243"/>
      <c r="DP23" s="243"/>
      <c r="DQ23" s="243"/>
      <c r="DR23" s="243">
        <f>DR24+DR25+DR26+DR29</f>
        <v>5.114534595762708</v>
      </c>
      <c r="DS23" s="243"/>
      <c r="DT23" s="243"/>
      <c r="DU23" s="243"/>
      <c r="DV23" s="243"/>
      <c r="DW23" s="243"/>
      <c r="DX23" s="243"/>
      <c r="DY23" s="243"/>
      <c r="DZ23" s="243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</row>
    <row r="24" spans="1:166" ht="29.25" customHeight="1">
      <c r="A24" s="245" t="s">
        <v>292</v>
      </c>
      <c r="B24" s="245"/>
      <c r="C24" s="245"/>
      <c r="D24" s="245"/>
      <c r="E24" s="245"/>
      <c r="F24" s="245"/>
      <c r="G24" s="248" t="s">
        <v>293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7">
        <f>BG24+BY24+CQ24+DI24</f>
        <v>4.57889</v>
      </c>
      <c r="AP24" s="247"/>
      <c r="AQ24" s="247"/>
      <c r="AR24" s="247"/>
      <c r="AS24" s="247"/>
      <c r="AT24" s="247"/>
      <c r="AU24" s="247"/>
      <c r="AV24" s="247"/>
      <c r="AW24" s="247"/>
      <c r="AX24" s="243">
        <f>BP24+CH24+CZ24+DR24</f>
        <v>5.1131560157627085</v>
      </c>
      <c r="AY24" s="243"/>
      <c r="AZ24" s="243"/>
      <c r="BA24" s="243"/>
      <c r="BB24" s="243"/>
      <c r="BC24" s="243"/>
      <c r="BD24" s="243"/>
      <c r="BE24" s="243"/>
      <c r="BF24" s="243"/>
      <c r="BG24" s="243">
        <v>0</v>
      </c>
      <c r="BH24" s="243"/>
      <c r="BI24" s="243"/>
      <c r="BJ24" s="243"/>
      <c r="BK24" s="243"/>
      <c r="BL24" s="243"/>
      <c r="BM24" s="243"/>
      <c r="BN24" s="243"/>
      <c r="BO24" s="243"/>
      <c r="BP24" s="243">
        <v>0</v>
      </c>
      <c r="BQ24" s="243"/>
      <c r="BR24" s="243"/>
      <c r="BS24" s="243"/>
      <c r="BT24" s="243"/>
      <c r="BU24" s="243"/>
      <c r="BV24" s="243"/>
      <c r="BW24" s="243"/>
      <c r="BX24" s="243"/>
      <c r="BY24" s="243">
        <v>0</v>
      </c>
      <c r="BZ24" s="243"/>
      <c r="CA24" s="243"/>
      <c r="CB24" s="243"/>
      <c r="CC24" s="243"/>
      <c r="CD24" s="243"/>
      <c r="CE24" s="243"/>
      <c r="CF24" s="243"/>
      <c r="CG24" s="243"/>
      <c r="CH24" s="243">
        <v>0</v>
      </c>
      <c r="CI24" s="243"/>
      <c r="CJ24" s="243"/>
      <c r="CK24" s="243"/>
      <c r="CL24" s="243"/>
      <c r="CM24" s="243"/>
      <c r="CN24" s="243"/>
      <c r="CO24" s="243"/>
      <c r="CP24" s="243"/>
      <c r="CQ24" s="243">
        <f>1104.00169544138/1000</f>
        <v>1.10400169544138</v>
      </c>
      <c r="CR24" s="243"/>
      <c r="CS24" s="243"/>
      <c r="CT24" s="243"/>
      <c r="CU24" s="243"/>
      <c r="CV24" s="243"/>
      <c r="CW24" s="243"/>
      <c r="CX24" s="243"/>
      <c r="CY24" s="243"/>
      <c r="CZ24" s="243">
        <v>0</v>
      </c>
      <c r="DA24" s="243"/>
      <c r="DB24" s="243"/>
      <c r="DC24" s="243"/>
      <c r="DD24" s="243"/>
      <c r="DE24" s="243"/>
      <c r="DF24" s="243"/>
      <c r="DG24" s="243"/>
      <c r="DH24" s="243"/>
      <c r="DI24" s="243">
        <f>3474.88830455862/1000</f>
        <v>3.47488830455862</v>
      </c>
      <c r="DJ24" s="243"/>
      <c r="DK24" s="243"/>
      <c r="DL24" s="243"/>
      <c r="DM24" s="243"/>
      <c r="DN24" s="243"/>
      <c r="DO24" s="243"/>
      <c r="DP24" s="243"/>
      <c r="DQ24" s="243"/>
      <c r="DR24" s="243">
        <v>5.1131560157627085</v>
      </c>
      <c r="DS24" s="243"/>
      <c r="DT24" s="243"/>
      <c r="DU24" s="243"/>
      <c r="DV24" s="243"/>
      <c r="DW24" s="243"/>
      <c r="DX24" s="243"/>
      <c r="DY24" s="243"/>
      <c r="DZ24" s="243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FB24" s="127"/>
      <c r="FJ24" s="160"/>
    </row>
    <row r="25" spans="1:155" ht="27" customHeight="1">
      <c r="A25" s="245" t="s">
        <v>294</v>
      </c>
      <c r="B25" s="245"/>
      <c r="C25" s="245"/>
      <c r="D25" s="245"/>
      <c r="E25" s="245"/>
      <c r="F25" s="245"/>
      <c r="G25" s="248" t="s">
        <v>295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7">
        <f>BG25+BY25+CQ25+DI25</f>
        <v>0</v>
      </c>
      <c r="AP25" s="247"/>
      <c r="AQ25" s="247"/>
      <c r="AR25" s="247"/>
      <c r="AS25" s="247"/>
      <c r="AT25" s="247"/>
      <c r="AU25" s="247"/>
      <c r="AV25" s="247"/>
      <c r="AW25" s="247"/>
      <c r="AX25" s="243">
        <f>BP25+CH25+CZ25+DR25</f>
        <v>0</v>
      </c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</row>
    <row r="26" spans="1:155" ht="38.25" customHeight="1">
      <c r="A26" s="245" t="s">
        <v>296</v>
      </c>
      <c r="B26" s="245"/>
      <c r="C26" s="245"/>
      <c r="D26" s="245"/>
      <c r="E26" s="245"/>
      <c r="F26" s="245"/>
      <c r="G26" s="248" t="s">
        <v>297</v>
      </c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7">
        <f>AO27+AO28</f>
        <v>0</v>
      </c>
      <c r="AP26" s="247"/>
      <c r="AQ26" s="247"/>
      <c r="AR26" s="247"/>
      <c r="AS26" s="247"/>
      <c r="AT26" s="247"/>
      <c r="AU26" s="247"/>
      <c r="AV26" s="247"/>
      <c r="AW26" s="247"/>
      <c r="AX26" s="243">
        <f>AX27+AX28</f>
        <v>0.011119579999999999</v>
      </c>
      <c r="AY26" s="243"/>
      <c r="AZ26" s="243"/>
      <c r="BA26" s="243"/>
      <c r="BB26" s="243"/>
      <c r="BC26" s="243"/>
      <c r="BD26" s="243"/>
      <c r="BE26" s="243"/>
      <c r="BF26" s="243"/>
      <c r="BG26" s="243">
        <f>BG27+BG28</f>
        <v>0</v>
      </c>
      <c r="BH26" s="243"/>
      <c r="BI26" s="243"/>
      <c r="BJ26" s="243"/>
      <c r="BK26" s="243"/>
      <c r="BL26" s="243"/>
      <c r="BM26" s="243"/>
      <c r="BN26" s="243"/>
      <c r="BO26" s="243"/>
      <c r="BP26" s="243">
        <f>BP27+BP28</f>
        <v>0</v>
      </c>
      <c r="BQ26" s="243"/>
      <c r="BR26" s="243"/>
      <c r="BS26" s="243"/>
      <c r="BT26" s="243"/>
      <c r="BU26" s="243"/>
      <c r="BV26" s="243"/>
      <c r="BW26" s="243"/>
      <c r="BX26" s="243"/>
      <c r="BY26" s="243">
        <f>BY27+BY28</f>
        <v>0</v>
      </c>
      <c r="BZ26" s="243"/>
      <c r="CA26" s="243"/>
      <c r="CB26" s="243"/>
      <c r="CC26" s="243"/>
      <c r="CD26" s="243"/>
      <c r="CE26" s="243"/>
      <c r="CF26" s="243"/>
      <c r="CG26" s="243"/>
      <c r="CH26" s="243">
        <f>CH27+CH28</f>
        <v>0</v>
      </c>
      <c r="CI26" s="243"/>
      <c r="CJ26" s="243"/>
      <c r="CK26" s="243"/>
      <c r="CL26" s="243"/>
      <c r="CM26" s="243"/>
      <c r="CN26" s="243"/>
      <c r="CO26" s="243"/>
      <c r="CP26" s="243"/>
      <c r="CQ26" s="243">
        <f>CQ27+CQ28</f>
        <v>0</v>
      </c>
      <c r="CR26" s="243"/>
      <c r="CS26" s="243"/>
      <c r="CT26" s="243"/>
      <c r="CU26" s="243"/>
      <c r="CV26" s="243"/>
      <c r="CW26" s="243"/>
      <c r="CX26" s="243"/>
      <c r="CY26" s="243"/>
      <c r="CZ26" s="243">
        <f>CZ27+CZ28</f>
        <v>0.009741</v>
      </c>
      <c r="DA26" s="243"/>
      <c r="DB26" s="243"/>
      <c r="DC26" s="243"/>
      <c r="DD26" s="243"/>
      <c r="DE26" s="243"/>
      <c r="DF26" s="243"/>
      <c r="DG26" s="243"/>
      <c r="DH26" s="243"/>
      <c r="DI26" s="243">
        <f>DI27+DI28</f>
        <v>0</v>
      </c>
      <c r="DJ26" s="243"/>
      <c r="DK26" s="243"/>
      <c r="DL26" s="243"/>
      <c r="DM26" s="243"/>
      <c r="DN26" s="243"/>
      <c r="DO26" s="243"/>
      <c r="DP26" s="243"/>
      <c r="DQ26" s="243"/>
      <c r="DR26" s="243">
        <f>DR27+DR28</f>
        <v>0.001378579999999999</v>
      </c>
      <c r="DS26" s="243"/>
      <c r="DT26" s="243"/>
      <c r="DU26" s="243"/>
      <c r="DV26" s="243"/>
      <c r="DW26" s="243"/>
      <c r="DX26" s="243"/>
      <c r="DY26" s="243"/>
      <c r="DZ26" s="243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</row>
    <row r="27" spans="1:158" ht="30.75" customHeight="1">
      <c r="A27" s="245" t="s">
        <v>298</v>
      </c>
      <c r="B27" s="245"/>
      <c r="C27" s="245"/>
      <c r="D27" s="245"/>
      <c r="E27" s="245"/>
      <c r="F27" s="245"/>
      <c r="G27" s="248" t="s">
        <v>299</v>
      </c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7">
        <f>BG27+BY27+CQ27+DI27</f>
        <v>0</v>
      </c>
      <c r="AP27" s="247"/>
      <c r="AQ27" s="247"/>
      <c r="AR27" s="247"/>
      <c r="AS27" s="247"/>
      <c r="AT27" s="247"/>
      <c r="AU27" s="247"/>
      <c r="AV27" s="247"/>
      <c r="AW27" s="247"/>
      <c r="AX27" s="243">
        <f>BP27+CH27+CZ27+DR27</f>
        <v>0</v>
      </c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FB27" s="128"/>
    </row>
    <row r="28" spans="1:158" ht="29.25" customHeight="1">
      <c r="A28" s="245" t="s">
        <v>300</v>
      </c>
      <c r="B28" s="245"/>
      <c r="C28" s="245"/>
      <c r="D28" s="245"/>
      <c r="E28" s="245"/>
      <c r="F28" s="245"/>
      <c r="G28" s="248" t="s">
        <v>301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7">
        <f>BG28+BY28+CQ28+DI28</f>
        <v>0</v>
      </c>
      <c r="AP28" s="247"/>
      <c r="AQ28" s="247"/>
      <c r="AR28" s="247"/>
      <c r="AS28" s="247"/>
      <c r="AT28" s="247"/>
      <c r="AU28" s="247"/>
      <c r="AV28" s="247"/>
      <c r="AW28" s="247"/>
      <c r="AX28" s="243">
        <f>BP28+CH28+CZ28+DR28</f>
        <v>0.011119579999999999</v>
      </c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>
        <f>9.741/1000</f>
        <v>0.009741</v>
      </c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>
        <f>11.11958/1000-CZ28</f>
        <v>0.001378579999999999</v>
      </c>
      <c r="DS28" s="243"/>
      <c r="DT28" s="243"/>
      <c r="DU28" s="243"/>
      <c r="DV28" s="243"/>
      <c r="DW28" s="243"/>
      <c r="DX28" s="243"/>
      <c r="DY28" s="243"/>
      <c r="DZ28" s="243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FB28" s="129"/>
    </row>
    <row r="29" spans="1:158" ht="24.75" customHeight="1">
      <c r="A29" s="245" t="s">
        <v>302</v>
      </c>
      <c r="B29" s="245"/>
      <c r="C29" s="245"/>
      <c r="D29" s="245"/>
      <c r="E29" s="245"/>
      <c r="F29" s="245"/>
      <c r="G29" s="248" t="s">
        <v>303</v>
      </c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7">
        <f>BG29+BY29+CQ29+DI29</f>
        <v>0</v>
      </c>
      <c r="AP29" s="247"/>
      <c r="AQ29" s="247"/>
      <c r="AR29" s="247"/>
      <c r="AS29" s="247"/>
      <c r="AT29" s="247"/>
      <c r="AU29" s="247"/>
      <c r="AV29" s="247"/>
      <c r="AW29" s="247"/>
      <c r="AX29" s="243">
        <f>BP29+CH29+CZ29+DR29</f>
        <v>0</v>
      </c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FB29" s="128"/>
    </row>
    <row r="30" spans="1:158" ht="23.25" customHeight="1">
      <c r="A30" s="245" t="s">
        <v>304</v>
      </c>
      <c r="B30" s="245"/>
      <c r="C30" s="245"/>
      <c r="D30" s="245"/>
      <c r="E30" s="245"/>
      <c r="F30" s="245"/>
      <c r="G30" s="248" t="s">
        <v>305</v>
      </c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7">
        <f>AO31+AO32+AO33</f>
        <v>12.309220750000001</v>
      </c>
      <c r="AP30" s="247"/>
      <c r="AQ30" s="247"/>
      <c r="AR30" s="247"/>
      <c r="AS30" s="247"/>
      <c r="AT30" s="247"/>
      <c r="AU30" s="247"/>
      <c r="AV30" s="247"/>
      <c r="AW30" s="247"/>
      <c r="AX30" s="243">
        <f>AX31+AX32+AX33</f>
        <v>12.36971568</v>
      </c>
      <c r="AY30" s="243"/>
      <c r="AZ30" s="243"/>
      <c r="BA30" s="243"/>
      <c r="BB30" s="243"/>
      <c r="BC30" s="243"/>
      <c r="BD30" s="243"/>
      <c r="BE30" s="243"/>
      <c r="BF30" s="243"/>
      <c r="BG30" s="243">
        <f>BG31+BG32+BG33</f>
        <v>1.43873875</v>
      </c>
      <c r="BH30" s="243"/>
      <c r="BI30" s="243"/>
      <c r="BJ30" s="243"/>
      <c r="BK30" s="243"/>
      <c r="BL30" s="243"/>
      <c r="BM30" s="243"/>
      <c r="BN30" s="243"/>
      <c r="BO30" s="243"/>
      <c r="BP30" s="243">
        <f>BP31+BP32+BP33</f>
        <v>1.43873775</v>
      </c>
      <c r="BQ30" s="243"/>
      <c r="BR30" s="243"/>
      <c r="BS30" s="243"/>
      <c r="BT30" s="243"/>
      <c r="BU30" s="243"/>
      <c r="BV30" s="243"/>
      <c r="BW30" s="243"/>
      <c r="BX30" s="243"/>
      <c r="BY30" s="243">
        <f>BY31+BY32+BY33</f>
        <v>1.357034928</v>
      </c>
      <c r="BZ30" s="243"/>
      <c r="CA30" s="243"/>
      <c r="CB30" s="243"/>
      <c r="CC30" s="243"/>
      <c r="CD30" s="243"/>
      <c r="CE30" s="243"/>
      <c r="CF30" s="243"/>
      <c r="CG30" s="243"/>
      <c r="CH30" s="243">
        <f>CH31+CH32+CH33</f>
        <v>3.88615456</v>
      </c>
      <c r="CI30" s="243"/>
      <c r="CJ30" s="243"/>
      <c r="CK30" s="243"/>
      <c r="CL30" s="243"/>
      <c r="CM30" s="243"/>
      <c r="CN30" s="243"/>
      <c r="CO30" s="243"/>
      <c r="CP30" s="243"/>
      <c r="CQ30" s="243">
        <f>CQ31+CQ32+CQ33</f>
        <v>1.5290991285532</v>
      </c>
      <c r="CR30" s="243"/>
      <c r="CS30" s="243"/>
      <c r="CT30" s="243"/>
      <c r="CU30" s="243"/>
      <c r="CV30" s="243"/>
      <c r="CW30" s="243"/>
      <c r="CX30" s="243"/>
      <c r="CY30" s="243"/>
      <c r="CZ30" s="243">
        <f>CZ31+CZ32+CZ33</f>
        <v>1.05917256</v>
      </c>
      <c r="DA30" s="243"/>
      <c r="DB30" s="243"/>
      <c r="DC30" s="243"/>
      <c r="DD30" s="243"/>
      <c r="DE30" s="243"/>
      <c r="DF30" s="243"/>
      <c r="DG30" s="243"/>
      <c r="DH30" s="243"/>
      <c r="DI30" s="243">
        <f>DI31+DI32+DI33</f>
        <v>7.9843479434468</v>
      </c>
      <c r="DJ30" s="243"/>
      <c r="DK30" s="243"/>
      <c r="DL30" s="243"/>
      <c r="DM30" s="243"/>
      <c r="DN30" s="243"/>
      <c r="DO30" s="243"/>
      <c r="DP30" s="243"/>
      <c r="DQ30" s="243"/>
      <c r="DR30" s="243">
        <f>DR31+DR32+DR33</f>
        <v>5.985650810000001</v>
      </c>
      <c r="DS30" s="243"/>
      <c r="DT30" s="243"/>
      <c r="DU30" s="243"/>
      <c r="DV30" s="243"/>
      <c r="DW30" s="243"/>
      <c r="DX30" s="243"/>
      <c r="DY30" s="243"/>
      <c r="DZ30" s="243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FB30" s="130"/>
    </row>
    <row r="31" spans="1:158" ht="22.5" customHeight="1">
      <c r="A31" s="245" t="s">
        <v>306</v>
      </c>
      <c r="B31" s="245"/>
      <c r="C31" s="245"/>
      <c r="D31" s="245"/>
      <c r="E31" s="245"/>
      <c r="F31" s="245"/>
      <c r="G31" s="248" t="s">
        <v>307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7">
        <f>BG31+BY31+CQ31+DI31</f>
        <v>12.309220750000001</v>
      </c>
      <c r="AP31" s="247"/>
      <c r="AQ31" s="247"/>
      <c r="AR31" s="247"/>
      <c r="AS31" s="247"/>
      <c r="AT31" s="247"/>
      <c r="AU31" s="247"/>
      <c r="AV31" s="247"/>
      <c r="AW31" s="247"/>
      <c r="AX31" s="243">
        <f>BP31+CH31+CZ31+DR31</f>
        <v>12.36971568</v>
      </c>
      <c r="AY31" s="243"/>
      <c r="AZ31" s="243"/>
      <c r="BA31" s="243"/>
      <c r="BB31" s="243"/>
      <c r="BC31" s="243"/>
      <c r="BD31" s="243"/>
      <c r="BE31" s="243"/>
      <c r="BF31" s="243"/>
      <c r="BG31" s="264">
        <f>1438.73875/1000</f>
        <v>1.43873875</v>
      </c>
      <c r="BH31" s="264"/>
      <c r="BI31" s="264"/>
      <c r="BJ31" s="264"/>
      <c r="BK31" s="264"/>
      <c r="BL31" s="264"/>
      <c r="BM31" s="264"/>
      <c r="BN31" s="264"/>
      <c r="BO31" s="264"/>
      <c r="BP31" s="264">
        <f>1438.73775/1000</f>
        <v>1.43873775</v>
      </c>
      <c r="BQ31" s="264"/>
      <c r="BR31" s="264"/>
      <c r="BS31" s="264"/>
      <c r="BT31" s="264"/>
      <c r="BU31" s="264"/>
      <c r="BV31" s="264"/>
      <c r="BW31" s="264"/>
      <c r="BX31" s="264"/>
      <c r="BY31" s="265">
        <f>1357.034928/1000</f>
        <v>1.357034928</v>
      </c>
      <c r="BZ31" s="265"/>
      <c r="CA31" s="265"/>
      <c r="CB31" s="265"/>
      <c r="CC31" s="265"/>
      <c r="CD31" s="265"/>
      <c r="CE31" s="265"/>
      <c r="CF31" s="265"/>
      <c r="CG31" s="265"/>
      <c r="CH31" s="264">
        <v>3.88615456</v>
      </c>
      <c r="CI31" s="264"/>
      <c r="CJ31" s="264"/>
      <c r="CK31" s="264"/>
      <c r="CL31" s="264"/>
      <c r="CM31" s="264"/>
      <c r="CN31" s="264"/>
      <c r="CO31" s="264"/>
      <c r="CP31" s="264"/>
      <c r="CQ31" s="264">
        <f>1529.0991285532/1000</f>
        <v>1.5290991285532</v>
      </c>
      <c r="CR31" s="264"/>
      <c r="CS31" s="264"/>
      <c r="CT31" s="264"/>
      <c r="CU31" s="264"/>
      <c r="CV31" s="264"/>
      <c r="CW31" s="264"/>
      <c r="CX31" s="264"/>
      <c r="CY31" s="264"/>
      <c r="CZ31" s="264">
        <f>1.06891356-CZ26</f>
        <v>1.05917256</v>
      </c>
      <c r="DA31" s="264"/>
      <c r="DB31" s="264"/>
      <c r="DC31" s="264"/>
      <c r="DD31" s="264"/>
      <c r="DE31" s="264"/>
      <c r="DF31" s="264"/>
      <c r="DG31" s="264"/>
      <c r="DH31" s="264"/>
      <c r="DI31" s="243">
        <f>7984.3479434468/1000</f>
        <v>7.9843479434468</v>
      </c>
      <c r="DJ31" s="243"/>
      <c r="DK31" s="243"/>
      <c r="DL31" s="243"/>
      <c r="DM31" s="243"/>
      <c r="DN31" s="243"/>
      <c r="DO31" s="243"/>
      <c r="DP31" s="243"/>
      <c r="DQ31" s="243"/>
      <c r="DR31" s="243">
        <v>5.985650810000001</v>
      </c>
      <c r="DS31" s="243"/>
      <c r="DT31" s="243"/>
      <c r="DU31" s="243"/>
      <c r="DV31" s="243"/>
      <c r="DW31" s="243"/>
      <c r="DX31" s="243"/>
      <c r="DY31" s="243"/>
      <c r="DZ31" s="243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FB31" s="131"/>
    </row>
    <row r="32" spans="1:155" ht="18" customHeight="1">
      <c r="A32" s="245" t="s">
        <v>308</v>
      </c>
      <c r="B32" s="245"/>
      <c r="C32" s="245"/>
      <c r="D32" s="245"/>
      <c r="E32" s="245"/>
      <c r="F32" s="245"/>
      <c r="G32" s="248" t="s">
        <v>309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7">
        <f>BG32+BY32+CQ32+DI32</f>
        <v>0</v>
      </c>
      <c r="AP32" s="247"/>
      <c r="AQ32" s="247"/>
      <c r="AR32" s="247"/>
      <c r="AS32" s="247"/>
      <c r="AT32" s="247"/>
      <c r="AU32" s="247"/>
      <c r="AV32" s="247"/>
      <c r="AW32" s="247"/>
      <c r="AX32" s="243">
        <f>BP32+CH32+CZ32+DR32</f>
        <v>0</v>
      </c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4"/>
      <c r="EB32" s="244"/>
      <c r="EC32" s="244"/>
      <c r="ED32" s="244"/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</row>
    <row r="33" spans="1:155" ht="27.75" customHeight="1">
      <c r="A33" s="245" t="s">
        <v>310</v>
      </c>
      <c r="B33" s="245"/>
      <c r="C33" s="245"/>
      <c r="D33" s="245"/>
      <c r="E33" s="245"/>
      <c r="F33" s="245"/>
      <c r="G33" s="248" t="s">
        <v>311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7">
        <f>BG33+BY33+CQ33+DI33</f>
        <v>0</v>
      </c>
      <c r="AP33" s="247"/>
      <c r="AQ33" s="247"/>
      <c r="AR33" s="247"/>
      <c r="AS33" s="247"/>
      <c r="AT33" s="247"/>
      <c r="AU33" s="247"/>
      <c r="AV33" s="247"/>
      <c r="AW33" s="247"/>
      <c r="AX33" s="243">
        <f>BP33+CH33+CZ33+DR33</f>
        <v>0</v>
      </c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4"/>
      <c r="EB33" s="244"/>
      <c r="EC33" s="244"/>
      <c r="ED33" s="244"/>
      <c r="EE33" s="244"/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</row>
    <row r="34" spans="1:155" ht="17.25" customHeight="1">
      <c r="A34" s="245" t="s">
        <v>312</v>
      </c>
      <c r="B34" s="245"/>
      <c r="C34" s="245"/>
      <c r="D34" s="245"/>
      <c r="E34" s="245"/>
      <c r="F34" s="245"/>
      <c r="G34" s="248" t="s">
        <v>313</v>
      </c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7">
        <f>BG34+BY34+CQ34+DI34</f>
        <v>0</v>
      </c>
      <c r="AP34" s="247"/>
      <c r="AQ34" s="247"/>
      <c r="AR34" s="247"/>
      <c r="AS34" s="247"/>
      <c r="AT34" s="247"/>
      <c r="AU34" s="247"/>
      <c r="AV34" s="247"/>
      <c r="AW34" s="247"/>
      <c r="AX34" s="243">
        <f>BP34+CH34+CZ34+DR34</f>
        <v>0</v>
      </c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</row>
    <row r="35" spans="1:155" ht="18" customHeight="1">
      <c r="A35" s="245" t="s">
        <v>314</v>
      </c>
      <c r="B35" s="245"/>
      <c r="C35" s="245"/>
      <c r="D35" s="245"/>
      <c r="E35" s="245"/>
      <c r="F35" s="245"/>
      <c r="G35" s="248" t="s">
        <v>315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7">
        <f>AO36</f>
        <v>0</v>
      </c>
      <c r="AP35" s="247"/>
      <c r="AQ35" s="247"/>
      <c r="AR35" s="247"/>
      <c r="AS35" s="247"/>
      <c r="AT35" s="247"/>
      <c r="AU35" s="247"/>
      <c r="AV35" s="247"/>
      <c r="AW35" s="247"/>
      <c r="AX35" s="243">
        <f>AX36</f>
        <v>0</v>
      </c>
      <c r="AY35" s="243"/>
      <c r="AZ35" s="243"/>
      <c r="BA35" s="243"/>
      <c r="BB35" s="243"/>
      <c r="BC35" s="243"/>
      <c r="BD35" s="243"/>
      <c r="BE35" s="243"/>
      <c r="BF35" s="243"/>
      <c r="BG35" s="243">
        <f>BG36</f>
        <v>0</v>
      </c>
      <c r="BH35" s="243"/>
      <c r="BI35" s="243"/>
      <c r="BJ35" s="243"/>
      <c r="BK35" s="243"/>
      <c r="BL35" s="243"/>
      <c r="BM35" s="243"/>
      <c r="BN35" s="243"/>
      <c r="BO35" s="243"/>
      <c r="BP35" s="243">
        <f>BP36</f>
        <v>0</v>
      </c>
      <c r="BQ35" s="243"/>
      <c r="BR35" s="243"/>
      <c r="BS35" s="243"/>
      <c r="BT35" s="243"/>
      <c r="BU35" s="243"/>
      <c r="BV35" s="243"/>
      <c r="BW35" s="243"/>
      <c r="BX35" s="243"/>
      <c r="BY35" s="243">
        <f>BY36</f>
        <v>0</v>
      </c>
      <c r="BZ35" s="243"/>
      <c r="CA35" s="243"/>
      <c r="CB35" s="243"/>
      <c r="CC35" s="243"/>
      <c r="CD35" s="243"/>
      <c r="CE35" s="243"/>
      <c r="CF35" s="243"/>
      <c r="CG35" s="243"/>
      <c r="CH35" s="243">
        <f>CH36</f>
        <v>0</v>
      </c>
      <c r="CI35" s="243"/>
      <c r="CJ35" s="243"/>
      <c r="CK35" s="243"/>
      <c r="CL35" s="243"/>
      <c r="CM35" s="243"/>
      <c r="CN35" s="243"/>
      <c r="CO35" s="243"/>
      <c r="CP35" s="243"/>
      <c r="CQ35" s="243">
        <f>CQ36</f>
        <v>0</v>
      </c>
      <c r="CR35" s="243"/>
      <c r="CS35" s="243"/>
      <c r="CT35" s="243"/>
      <c r="CU35" s="243"/>
      <c r="CV35" s="243"/>
      <c r="CW35" s="243"/>
      <c r="CX35" s="243"/>
      <c r="CY35" s="243"/>
      <c r="CZ35" s="243">
        <f>CZ36</f>
        <v>0</v>
      </c>
      <c r="DA35" s="243"/>
      <c r="DB35" s="243"/>
      <c r="DC35" s="243"/>
      <c r="DD35" s="243"/>
      <c r="DE35" s="243"/>
      <c r="DF35" s="243"/>
      <c r="DG35" s="243"/>
      <c r="DH35" s="243"/>
      <c r="DI35" s="243">
        <f>DI36</f>
        <v>0</v>
      </c>
      <c r="DJ35" s="243"/>
      <c r="DK35" s="243"/>
      <c r="DL35" s="243"/>
      <c r="DM35" s="243"/>
      <c r="DN35" s="243"/>
      <c r="DO35" s="243"/>
      <c r="DP35" s="243"/>
      <c r="DQ35" s="243"/>
      <c r="DR35" s="243">
        <f>DR36</f>
        <v>0</v>
      </c>
      <c r="DS35" s="243"/>
      <c r="DT35" s="243"/>
      <c r="DU35" s="243"/>
      <c r="DV35" s="243"/>
      <c r="DW35" s="243"/>
      <c r="DX35" s="243"/>
      <c r="DY35" s="243"/>
      <c r="DZ35" s="243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</row>
    <row r="36" spans="1:155" ht="21" customHeight="1">
      <c r="A36" s="245" t="s">
        <v>316</v>
      </c>
      <c r="B36" s="245"/>
      <c r="C36" s="245"/>
      <c r="D36" s="245"/>
      <c r="E36" s="245"/>
      <c r="F36" s="245"/>
      <c r="G36" s="248" t="s">
        <v>317</v>
      </c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7">
        <f>BG36+BY36+CQ36+DI36</f>
        <v>0</v>
      </c>
      <c r="AP36" s="247"/>
      <c r="AQ36" s="247"/>
      <c r="AR36" s="247"/>
      <c r="AS36" s="247"/>
      <c r="AT36" s="247"/>
      <c r="AU36" s="247"/>
      <c r="AV36" s="247"/>
      <c r="AW36" s="247"/>
      <c r="AX36" s="243">
        <f>BP36+CH36+CZ36+DR36</f>
        <v>0</v>
      </c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</row>
    <row r="37" spans="1:155" ht="27" customHeight="1">
      <c r="A37" s="256" t="s">
        <v>318</v>
      </c>
      <c r="B37" s="256"/>
      <c r="C37" s="256"/>
      <c r="D37" s="256"/>
      <c r="E37" s="256"/>
      <c r="F37" s="256"/>
      <c r="G37" s="257" t="s">
        <v>319</v>
      </c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47">
        <f>BG37+BY37+CQ37+DI37</f>
        <v>0</v>
      </c>
      <c r="AP37" s="247"/>
      <c r="AQ37" s="247"/>
      <c r="AR37" s="247"/>
      <c r="AS37" s="247"/>
      <c r="AT37" s="247"/>
      <c r="AU37" s="247"/>
      <c r="AV37" s="247"/>
      <c r="AW37" s="247"/>
      <c r="AX37" s="243">
        <f>BP37+CH37+CZ37+DR37</f>
        <v>0</v>
      </c>
      <c r="AY37" s="243"/>
      <c r="AZ37" s="243"/>
      <c r="BA37" s="243"/>
      <c r="BB37" s="243"/>
      <c r="BC37" s="243"/>
      <c r="BD37" s="243"/>
      <c r="BE37" s="243"/>
      <c r="BF37" s="243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</row>
    <row r="38" spans="1:155" ht="15" customHeight="1">
      <c r="A38" s="261" t="s">
        <v>189</v>
      </c>
      <c r="B38" s="261"/>
      <c r="C38" s="261"/>
      <c r="D38" s="261"/>
      <c r="E38" s="261"/>
      <c r="F38" s="261"/>
      <c r="G38" s="262" t="s">
        <v>320</v>
      </c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3">
        <f>AO39+AO40+AO41+AO42+AO43+AO44+AO45</f>
        <v>0</v>
      </c>
      <c r="AP38" s="263"/>
      <c r="AQ38" s="263"/>
      <c r="AR38" s="263"/>
      <c r="AS38" s="263"/>
      <c r="AT38" s="263"/>
      <c r="AU38" s="263"/>
      <c r="AV38" s="263"/>
      <c r="AW38" s="263"/>
      <c r="AX38" s="259">
        <f>AX39+AX40+AX41+AX42+AX43+AX44+AX45</f>
        <v>0</v>
      </c>
      <c r="AY38" s="259"/>
      <c r="AZ38" s="259"/>
      <c r="BA38" s="259"/>
      <c r="BB38" s="259"/>
      <c r="BC38" s="259"/>
      <c r="BD38" s="259"/>
      <c r="BE38" s="259"/>
      <c r="BF38" s="259"/>
      <c r="BG38" s="259">
        <f>BG39+BG40+BG41+BG42+BG43+BG44+BG45</f>
        <v>0</v>
      </c>
      <c r="BH38" s="259"/>
      <c r="BI38" s="259"/>
      <c r="BJ38" s="259"/>
      <c r="BK38" s="259"/>
      <c r="BL38" s="259"/>
      <c r="BM38" s="259"/>
      <c r="BN38" s="259"/>
      <c r="BO38" s="259"/>
      <c r="BP38" s="259">
        <f>BP39+BP40+BP41+BP42+BP43+BP44+BP45</f>
        <v>0</v>
      </c>
      <c r="BQ38" s="259"/>
      <c r="BR38" s="259"/>
      <c r="BS38" s="259"/>
      <c r="BT38" s="259"/>
      <c r="BU38" s="259"/>
      <c r="BV38" s="259"/>
      <c r="BW38" s="259"/>
      <c r="BX38" s="259"/>
      <c r="BY38" s="259">
        <f>BY39+BY40+BY41+BY42+BY43+BY44+BY45</f>
        <v>0</v>
      </c>
      <c r="BZ38" s="259"/>
      <c r="CA38" s="259"/>
      <c r="CB38" s="259"/>
      <c r="CC38" s="259"/>
      <c r="CD38" s="259"/>
      <c r="CE38" s="259"/>
      <c r="CF38" s="259"/>
      <c r="CG38" s="259"/>
      <c r="CH38" s="259">
        <f>CH39+CH40+CH41+CH42+CH43+CH44+CH45</f>
        <v>0</v>
      </c>
      <c r="CI38" s="259"/>
      <c r="CJ38" s="259"/>
      <c r="CK38" s="259"/>
      <c r="CL38" s="259"/>
      <c r="CM38" s="259"/>
      <c r="CN38" s="259"/>
      <c r="CO38" s="259"/>
      <c r="CP38" s="259"/>
      <c r="CQ38" s="259">
        <f>CQ39+CQ40+CQ41+CQ42+CQ43+CQ44+CQ45</f>
        <v>0</v>
      </c>
      <c r="CR38" s="259"/>
      <c r="CS38" s="259"/>
      <c r="CT38" s="259"/>
      <c r="CU38" s="259"/>
      <c r="CV38" s="259"/>
      <c r="CW38" s="259"/>
      <c r="CX38" s="259"/>
      <c r="CY38" s="259"/>
      <c r="CZ38" s="259">
        <f>CZ39+CZ40+CZ41+CZ42+CZ43+CZ44+CZ45</f>
        <v>0</v>
      </c>
      <c r="DA38" s="259"/>
      <c r="DB38" s="259"/>
      <c r="DC38" s="259"/>
      <c r="DD38" s="259"/>
      <c r="DE38" s="259"/>
      <c r="DF38" s="259"/>
      <c r="DG38" s="259"/>
      <c r="DH38" s="259"/>
      <c r="DI38" s="259">
        <f>DI39+DI40+DI41+DI42+DI43+DI44+DI45</f>
        <v>0</v>
      </c>
      <c r="DJ38" s="259"/>
      <c r="DK38" s="259"/>
      <c r="DL38" s="259"/>
      <c r="DM38" s="259"/>
      <c r="DN38" s="259"/>
      <c r="DO38" s="259"/>
      <c r="DP38" s="259"/>
      <c r="DQ38" s="259"/>
      <c r="DR38" s="259">
        <f>DR39+DR40+DR41+DR42+DR43+DR44+DR45</f>
        <v>0</v>
      </c>
      <c r="DS38" s="259"/>
      <c r="DT38" s="259"/>
      <c r="DU38" s="259"/>
      <c r="DV38" s="259"/>
      <c r="DW38" s="259"/>
      <c r="DX38" s="259"/>
      <c r="DY38" s="259"/>
      <c r="DZ38" s="259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</row>
    <row r="39" spans="1:155" ht="13.5" customHeight="1">
      <c r="A39" s="245" t="s">
        <v>321</v>
      </c>
      <c r="B39" s="245"/>
      <c r="C39" s="245"/>
      <c r="D39" s="245"/>
      <c r="E39" s="245"/>
      <c r="F39" s="245"/>
      <c r="G39" s="248" t="s">
        <v>322</v>
      </c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7">
        <f aca="true" t="shared" si="0" ref="AO39:AO45">BG39+BY39+CQ39+DI39</f>
        <v>0</v>
      </c>
      <c r="AP39" s="247"/>
      <c r="AQ39" s="247"/>
      <c r="AR39" s="247"/>
      <c r="AS39" s="247"/>
      <c r="AT39" s="247"/>
      <c r="AU39" s="247"/>
      <c r="AV39" s="247"/>
      <c r="AW39" s="247"/>
      <c r="AX39" s="243">
        <f aca="true" t="shared" si="1" ref="AX39:AX45">BP39+CH39+CZ39+DR39</f>
        <v>0</v>
      </c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</row>
    <row r="40" spans="1:155" ht="14.25" customHeight="1">
      <c r="A40" s="245" t="s">
        <v>323</v>
      </c>
      <c r="B40" s="245"/>
      <c r="C40" s="245"/>
      <c r="D40" s="245"/>
      <c r="E40" s="245"/>
      <c r="F40" s="245"/>
      <c r="G40" s="248" t="s">
        <v>324</v>
      </c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7">
        <f t="shared" si="0"/>
        <v>0</v>
      </c>
      <c r="AP40" s="247"/>
      <c r="AQ40" s="247"/>
      <c r="AR40" s="247"/>
      <c r="AS40" s="247"/>
      <c r="AT40" s="247"/>
      <c r="AU40" s="247"/>
      <c r="AV40" s="247"/>
      <c r="AW40" s="247"/>
      <c r="AX40" s="243">
        <f t="shared" si="1"/>
        <v>0</v>
      </c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4"/>
      <c r="EB40" s="244"/>
      <c r="EC40" s="244"/>
      <c r="ED40" s="244"/>
      <c r="EE40" s="244"/>
      <c r="EF40" s="244"/>
      <c r="EG40" s="244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EX40" s="244"/>
      <c r="EY40" s="244"/>
    </row>
    <row r="41" spans="1:155" ht="15" customHeight="1">
      <c r="A41" s="245" t="s">
        <v>325</v>
      </c>
      <c r="B41" s="245"/>
      <c r="C41" s="245"/>
      <c r="D41" s="245"/>
      <c r="E41" s="245"/>
      <c r="F41" s="245"/>
      <c r="G41" s="248" t="s">
        <v>326</v>
      </c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7">
        <f t="shared" si="0"/>
        <v>0</v>
      </c>
      <c r="AP41" s="247"/>
      <c r="AQ41" s="247"/>
      <c r="AR41" s="247"/>
      <c r="AS41" s="247"/>
      <c r="AT41" s="247"/>
      <c r="AU41" s="247"/>
      <c r="AV41" s="247"/>
      <c r="AW41" s="247"/>
      <c r="AX41" s="243">
        <f t="shared" si="1"/>
        <v>0</v>
      </c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4"/>
      <c r="EB41" s="244"/>
      <c r="EC41" s="244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EX41" s="244"/>
      <c r="EY41" s="244"/>
    </row>
    <row r="42" spans="1:155" ht="15" customHeight="1">
      <c r="A42" s="245" t="s">
        <v>327</v>
      </c>
      <c r="B42" s="245"/>
      <c r="C42" s="245"/>
      <c r="D42" s="245"/>
      <c r="E42" s="245"/>
      <c r="F42" s="245"/>
      <c r="G42" s="248" t="s">
        <v>328</v>
      </c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7">
        <f t="shared" si="0"/>
        <v>0</v>
      </c>
      <c r="AP42" s="247"/>
      <c r="AQ42" s="247"/>
      <c r="AR42" s="247"/>
      <c r="AS42" s="247"/>
      <c r="AT42" s="247"/>
      <c r="AU42" s="247"/>
      <c r="AV42" s="247"/>
      <c r="AW42" s="247"/>
      <c r="AX42" s="243">
        <f t="shared" si="1"/>
        <v>0</v>
      </c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4"/>
      <c r="EB42" s="244"/>
      <c r="EC42" s="244"/>
      <c r="ED42" s="244"/>
      <c r="EE42" s="244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EX42" s="244"/>
      <c r="EY42" s="244"/>
    </row>
    <row r="43" spans="1:155" ht="16.5" customHeight="1">
      <c r="A43" s="245" t="s">
        <v>329</v>
      </c>
      <c r="B43" s="245"/>
      <c r="C43" s="245"/>
      <c r="D43" s="245"/>
      <c r="E43" s="245"/>
      <c r="F43" s="245"/>
      <c r="G43" s="248" t="s">
        <v>330</v>
      </c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7">
        <f t="shared" si="0"/>
        <v>0</v>
      </c>
      <c r="AP43" s="247"/>
      <c r="AQ43" s="247"/>
      <c r="AR43" s="247"/>
      <c r="AS43" s="247"/>
      <c r="AT43" s="247"/>
      <c r="AU43" s="247"/>
      <c r="AV43" s="247"/>
      <c r="AW43" s="247"/>
      <c r="AX43" s="243">
        <f t="shared" si="1"/>
        <v>0</v>
      </c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/>
      <c r="EY43" s="244"/>
    </row>
    <row r="44" spans="1:155" ht="16.5" customHeight="1">
      <c r="A44" s="245" t="s">
        <v>331</v>
      </c>
      <c r="B44" s="245"/>
      <c r="C44" s="245"/>
      <c r="D44" s="245"/>
      <c r="E44" s="245"/>
      <c r="F44" s="245"/>
      <c r="G44" s="248" t="s">
        <v>332</v>
      </c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7">
        <f t="shared" si="0"/>
        <v>0</v>
      </c>
      <c r="AP44" s="247"/>
      <c r="AQ44" s="247"/>
      <c r="AR44" s="247"/>
      <c r="AS44" s="247"/>
      <c r="AT44" s="247"/>
      <c r="AU44" s="247"/>
      <c r="AV44" s="247"/>
      <c r="AW44" s="247"/>
      <c r="AX44" s="243">
        <f t="shared" si="1"/>
        <v>0</v>
      </c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4"/>
      <c r="EB44" s="244"/>
      <c r="EC44" s="244"/>
      <c r="ED44" s="244"/>
      <c r="EE44" s="244"/>
      <c r="EF44" s="244"/>
      <c r="EG44" s="244"/>
      <c r="EH44" s="244"/>
      <c r="EI44" s="244"/>
      <c r="EJ44" s="244"/>
      <c r="EK44" s="244"/>
      <c r="EL44" s="244"/>
      <c r="EM44" s="244"/>
      <c r="EN44" s="244"/>
      <c r="EO44" s="244"/>
      <c r="EP44" s="244"/>
      <c r="EQ44" s="244"/>
      <c r="ER44" s="244"/>
      <c r="ES44" s="244"/>
      <c r="ET44" s="244"/>
      <c r="EU44" s="244"/>
      <c r="EV44" s="244"/>
      <c r="EW44" s="244"/>
      <c r="EX44" s="244"/>
      <c r="EY44" s="244"/>
    </row>
    <row r="45" spans="1:155" ht="19.5" customHeight="1">
      <c r="A45" s="256" t="s">
        <v>333</v>
      </c>
      <c r="B45" s="256"/>
      <c r="C45" s="256"/>
      <c r="D45" s="256"/>
      <c r="E45" s="256"/>
      <c r="F45" s="256"/>
      <c r="G45" s="257" t="s">
        <v>334</v>
      </c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8">
        <f t="shared" si="0"/>
        <v>0</v>
      </c>
      <c r="AP45" s="258"/>
      <c r="AQ45" s="258"/>
      <c r="AR45" s="258"/>
      <c r="AS45" s="258"/>
      <c r="AT45" s="258"/>
      <c r="AU45" s="258"/>
      <c r="AV45" s="258"/>
      <c r="AW45" s="258"/>
      <c r="AX45" s="255">
        <f t="shared" si="1"/>
        <v>0</v>
      </c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5"/>
      <c r="CS45" s="255"/>
      <c r="CT45" s="255"/>
      <c r="CU45" s="255"/>
      <c r="CV45" s="255"/>
      <c r="CW45" s="255"/>
      <c r="CX45" s="255"/>
      <c r="CY45" s="25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  <c r="DL45" s="255"/>
      <c r="DM45" s="255"/>
      <c r="DN45" s="255"/>
      <c r="DO45" s="255"/>
      <c r="DP45" s="255"/>
      <c r="DQ45" s="255"/>
      <c r="DR45" s="239"/>
      <c r="DS45" s="239"/>
      <c r="DT45" s="239"/>
      <c r="DU45" s="239"/>
      <c r="DV45" s="239"/>
      <c r="DW45" s="239"/>
      <c r="DX45" s="239"/>
      <c r="DY45" s="239"/>
      <c r="DZ45" s="239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</row>
    <row r="46" spans="1:158" s="132" customFormat="1" ht="10.5" customHeight="1">
      <c r="A46" s="252"/>
      <c r="B46" s="252"/>
      <c r="C46" s="252"/>
      <c r="D46" s="252"/>
      <c r="E46" s="252"/>
      <c r="F46" s="252"/>
      <c r="G46" s="253" t="s">
        <v>335</v>
      </c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4">
        <f>AO22+AO38</f>
        <v>16.888110750000003</v>
      </c>
      <c r="AP46" s="254"/>
      <c r="AQ46" s="254"/>
      <c r="AR46" s="254"/>
      <c r="AS46" s="254"/>
      <c r="AT46" s="254"/>
      <c r="AU46" s="254"/>
      <c r="AV46" s="254"/>
      <c r="AW46" s="254"/>
      <c r="AX46" s="249">
        <f>AX22+AX38</f>
        <v>17.49399127576271</v>
      </c>
      <c r="AY46" s="249"/>
      <c r="AZ46" s="249"/>
      <c r="BA46" s="249"/>
      <c r="BB46" s="249"/>
      <c r="BC46" s="249"/>
      <c r="BD46" s="249"/>
      <c r="BE46" s="249"/>
      <c r="BF46" s="249"/>
      <c r="BG46" s="249">
        <f>BG22+BG38</f>
        <v>1.43873875</v>
      </c>
      <c r="BH46" s="249"/>
      <c r="BI46" s="249"/>
      <c r="BJ46" s="249"/>
      <c r="BK46" s="249"/>
      <c r="BL46" s="249"/>
      <c r="BM46" s="249"/>
      <c r="BN46" s="249"/>
      <c r="BO46" s="249"/>
      <c r="BP46" s="249">
        <f>BP22+BP38</f>
        <v>1.43873775</v>
      </c>
      <c r="BQ46" s="249"/>
      <c r="BR46" s="249"/>
      <c r="BS46" s="249"/>
      <c r="BT46" s="249"/>
      <c r="BU46" s="249"/>
      <c r="BV46" s="249"/>
      <c r="BW46" s="249"/>
      <c r="BX46" s="249"/>
      <c r="BY46" s="249">
        <f>BY22+BY38</f>
        <v>1.357034928</v>
      </c>
      <c r="BZ46" s="249"/>
      <c r="CA46" s="249"/>
      <c r="CB46" s="249"/>
      <c r="CC46" s="249"/>
      <c r="CD46" s="249"/>
      <c r="CE46" s="249"/>
      <c r="CF46" s="249"/>
      <c r="CG46" s="249"/>
      <c r="CH46" s="249">
        <f>CH22+CH38</f>
        <v>3.88615456</v>
      </c>
      <c r="CI46" s="249"/>
      <c r="CJ46" s="249"/>
      <c r="CK46" s="249"/>
      <c r="CL46" s="249"/>
      <c r="CM46" s="249"/>
      <c r="CN46" s="249"/>
      <c r="CO46" s="249"/>
      <c r="CP46" s="249"/>
      <c r="CQ46" s="249">
        <f>CQ22+CQ38</f>
        <v>2.63310082399458</v>
      </c>
      <c r="CR46" s="249"/>
      <c r="CS46" s="249"/>
      <c r="CT46" s="249"/>
      <c r="CU46" s="249"/>
      <c r="CV46" s="249"/>
      <c r="CW46" s="249"/>
      <c r="CX46" s="249"/>
      <c r="CY46" s="249"/>
      <c r="CZ46" s="249">
        <f>CZ22+CZ38</f>
        <v>1.06891356</v>
      </c>
      <c r="DA46" s="249"/>
      <c r="DB46" s="249"/>
      <c r="DC46" s="249"/>
      <c r="DD46" s="249"/>
      <c r="DE46" s="249"/>
      <c r="DF46" s="249"/>
      <c r="DG46" s="249"/>
      <c r="DH46" s="249"/>
      <c r="DI46" s="249">
        <f>DI22+DI38</f>
        <v>11.459236248005421</v>
      </c>
      <c r="DJ46" s="249"/>
      <c r="DK46" s="249"/>
      <c r="DL46" s="249"/>
      <c r="DM46" s="249"/>
      <c r="DN46" s="249"/>
      <c r="DO46" s="249"/>
      <c r="DP46" s="249"/>
      <c r="DQ46" s="249"/>
      <c r="DR46" s="249">
        <f>DR22+DR38</f>
        <v>11.100185405762709</v>
      </c>
      <c r="DS46" s="249"/>
      <c r="DT46" s="249"/>
      <c r="DU46" s="249"/>
      <c r="DV46" s="249"/>
      <c r="DW46" s="249"/>
      <c r="DX46" s="249"/>
      <c r="DY46" s="249"/>
      <c r="DZ46" s="249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FB46" s="133"/>
    </row>
    <row r="47" spans="1:155" ht="10.5" customHeight="1">
      <c r="A47" s="245"/>
      <c r="B47" s="245"/>
      <c r="C47" s="245"/>
      <c r="D47" s="245"/>
      <c r="E47" s="245"/>
      <c r="F47" s="245"/>
      <c r="G47" s="248" t="s">
        <v>336</v>
      </c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7"/>
      <c r="AP47" s="247"/>
      <c r="AQ47" s="247"/>
      <c r="AR47" s="247"/>
      <c r="AS47" s="247"/>
      <c r="AT47" s="247"/>
      <c r="AU47" s="247"/>
      <c r="AV47" s="247"/>
      <c r="AW47" s="247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</row>
    <row r="48" spans="1:155" ht="10.5" customHeight="1">
      <c r="A48" s="245"/>
      <c r="B48" s="245"/>
      <c r="C48" s="245"/>
      <c r="D48" s="245"/>
      <c r="E48" s="245"/>
      <c r="F48" s="245"/>
      <c r="G48" s="246" t="s">
        <v>337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7"/>
      <c r="AP48" s="247"/>
      <c r="AQ48" s="247"/>
      <c r="AR48" s="247"/>
      <c r="AS48" s="247"/>
      <c r="AT48" s="247"/>
      <c r="AU48" s="247"/>
      <c r="AV48" s="247"/>
      <c r="AW48" s="247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</row>
    <row r="49" spans="1:155" ht="10.5" customHeight="1">
      <c r="A49" s="240"/>
      <c r="B49" s="240"/>
      <c r="C49" s="240"/>
      <c r="D49" s="240"/>
      <c r="E49" s="240"/>
      <c r="F49" s="240"/>
      <c r="G49" s="241" t="s">
        <v>338</v>
      </c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2"/>
      <c r="AP49" s="242"/>
      <c r="AQ49" s="242"/>
      <c r="AR49" s="242"/>
      <c r="AS49" s="242"/>
      <c r="AT49" s="242"/>
      <c r="AU49" s="242"/>
      <c r="AV49" s="242"/>
      <c r="AW49" s="242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  <c r="EL49" s="237"/>
      <c r="EM49" s="237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</row>
    <row r="50" spans="6:7" s="134" customFormat="1" ht="13.5" customHeight="1">
      <c r="F50" s="135" t="s">
        <v>339</v>
      </c>
      <c r="G50" s="134" t="s">
        <v>340</v>
      </c>
    </row>
    <row r="51" spans="5:7" s="134" customFormat="1" ht="10.5">
      <c r="E51" s="135"/>
      <c r="F51" s="135" t="s">
        <v>341</v>
      </c>
      <c r="G51" s="134" t="s">
        <v>342</v>
      </c>
    </row>
    <row r="54" spans="5:128" ht="20.25" customHeight="1">
      <c r="E54" s="238" t="s">
        <v>215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DB54" s="238" t="s">
        <v>216</v>
      </c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</row>
    <row r="55" ht="46.5" customHeight="1"/>
  </sheetData>
  <sheetProtection selectLockedCells="1" selectUnlockedCells="1"/>
  <mergeCells count="396">
    <mergeCell ref="ER13:ET13"/>
    <mergeCell ref="A5:EY5"/>
    <mergeCell ref="A6:EY6"/>
    <mergeCell ref="DX9:EY9"/>
    <mergeCell ref="DX11:EY11"/>
    <mergeCell ref="DX12:EY12"/>
    <mergeCell ref="DW13:DX13"/>
    <mergeCell ref="DY13:EA13"/>
    <mergeCell ref="EB13:EC13"/>
    <mergeCell ref="ED13:EN13"/>
    <mergeCell ref="EO13:EQ13"/>
    <mergeCell ref="A19:F21"/>
    <mergeCell ref="G19:AN21"/>
    <mergeCell ref="AO19:DZ19"/>
    <mergeCell ref="EA19:EY21"/>
    <mergeCell ref="AO20:BF20"/>
    <mergeCell ref="BG20:BX20"/>
    <mergeCell ref="BY20:CP20"/>
    <mergeCell ref="CQ20:DH20"/>
    <mergeCell ref="DI20:DZ20"/>
    <mergeCell ref="DI21:DQ21"/>
    <mergeCell ref="AO21:AW21"/>
    <mergeCell ref="CH21:CP21"/>
    <mergeCell ref="CQ21:CY21"/>
    <mergeCell ref="CZ21:DH21"/>
    <mergeCell ref="AX21:BF21"/>
    <mergeCell ref="BG21:BO21"/>
    <mergeCell ref="BP21:BX21"/>
    <mergeCell ref="BY21:CG21"/>
    <mergeCell ref="DR22:DZ22"/>
    <mergeCell ref="EA22:EY22"/>
    <mergeCell ref="DR21:DZ21"/>
    <mergeCell ref="A22:F22"/>
    <mergeCell ref="G22:AN22"/>
    <mergeCell ref="AO22:AW22"/>
    <mergeCell ref="AX22:BF22"/>
    <mergeCell ref="BG22:BO22"/>
    <mergeCell ref="BP22:BX22"/>
    <mergeCell ref="BY22:CG22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DI23:DQ23"/>
    <mergeCell ref="DR23:DZ23"/>
    <mergeCell ref="BG23:BO23"/>
    <mergeCell ref="BP23:BX23"/>
    <mergeCell ref="BY23:CG23"/>
    <mergeCell ref="CH23:CP23"/>
    <mergeCell ref="CQ23:CY23"/>
    <mergeCell ref="CZ23:DH23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DI25:DQ25"/>
    <mergeCell ref="DR25:DZ25"/>
    <mergeCell ref="BG25:BO25"/>
    <mergeCell ref="BP25:BX25"/>
    <mergeCell ref="BY25:CG25"/>
    <mergeCell ref="CH25:CP25"/>
    <mergeCell ref="CQ25:CY25"/>
    <mergeCell ref="CZ25:DH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DI27:DQ27"/>
    <mergeCell ref="DR27:DZ27"/>
    <mergeCell ref="BG27:BO27"/>
    <mergeCell ref="BP27:BX27"/>
    <mergeCell ref="BY27:CG27"/>
    <mergeCell ref="CH27:CP27"/>
    <mergeCell ref="CQ27:CY27"/>
    <mergeCell ref="CZ27:DH27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DI29:DQ29"/>
    <mergeCell ref="DR29:DZ29"/>
    <mergeCell ref="BG29:BO29"/>
    <mergeCell ref="BP29:BX29"/>
    <mergeCell ref="BY29:CG29"/>
    <mergeCell ref="CH29:CP29"/>
    <mergeCell ref="CQ29:CY29"/>
    <mergeCell ref="CZ29:DH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DI31:DQ31"/>
    <mergeCell ref="DR31:DZ31"/>
    <mergeCell ref="BG31:BO31"/>
    <mergeCell ref="BP31:BX31"/>
    <mergeCell ref="BY31:CG31"/>
    <mergeCell ref="CH31:CP31"/>
    <mergeCell ref="CQ31:CY31"/>
    <mergeCell ref="CZ31:DH31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DR33:DZ33"/>
    <mergeCell ref="BG33:BO33"/>
    <mergeCell ref="BP33:BX33"/>
    <mergeCell ref="BY33:CG33"/>
    <mergeCell ref="CH33:CP33"/>
    <mergeCell ref="CQ33:CY33"/>
    <mergeCell ref="CZ33:DH33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A35:F35"/>
    <mergeCell ref="G35:AN35"/>
    <mergeCell ref="AO35:AW35"/>
    <mergeCell ref="AX35:BF35"/>
    <mergeCell ref="CZ34:DH34"/>
    <mergeCell ref="DI34:DQ34"/>
    <mergeCell ref="CH34:CP34"/>
    <mergeCell ref="CQ34:CY34"/>
    <mergeCell ref="DI35:DQ35"/>
    <mergeCell ref="DR35:DZ35"/>
    <mergeCell ref="BG35:BO35"/>
    <mergeCell ref="BP35:BX35"/>
    <mergeCell ref="BY35:CG35"/>
    <mergeCell ref="CH35:CP35"/>
    <mergeCell ref="CQ35:CY35"/>
    <mergeCell ref="CZ35:DH35"/>
    <mergeCell ref="DR36:DZ36"/>
    <mergeCell ref="EA36:EY36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A37:F37"/>
    <mergeCell ref="G37:AN37"/>
    <mergeCell ref="AO37:AW37"/>
    <mergeCell ref="AX37:BF37"/>
    <mergeCell ref="CZ36:DH36"/>
    <mergeCell ref="DI36:DQ36"/>
    <mergeCell ref="CH36:CP36"/>
    <mergeCell ref="CQ36:CY36"/>
    <mergeCell ref="DI37:DQ37"/>
    <mergeCell ref="DR37:DZ37"/>
    <mergeCell ref="BG37:BO37"/>
    <mergeCell ref="BP37:BX37"/>
    <mergeCell ref="BY37:CG37"/>
    <mergeCell ref="CH37:CP37"/>
    <mergeCell ref="CQ37:CY37"/>
    <mergeCell ref="CZ37:DH37"/>
    <mergeCell ref="DR38:DZ38"/>
    <mergeCell ref="EA38:EY38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A39:F39"/>
    <mergeCell ref="G39:AN39"/>
    <mergeCell ref="AO39:AW39"/>
    <mergeCell ref="AX39:BF39"/>
    <mergeCell ref="CZ38:DH38"/>
    <mergeCell ref="DI38:DQ38"/>
    <mergeCell ref="CH38:CP38"/>
    <mergeCell ref="CQ38:CY38"/>
    <mergeCell ref="DI39:DQ39"/>
    <mergeCell ref="DR39:DZ39"/>
    <mergeCell ref="BG39:BO39"/>
    <mergeCell ref="BP39:BX39"/>
    <mergeCell ref="BY39:CG39"/>
    <mergeCell ref="CH39:CP39"/>
    <mergeCell ref="CQ39:CY39"/>
    <mergeCell ref="CZ39:DH39"/>
    <mergeCell ref="DR40:DZ40"/>
    <mergeCell ref="EA40:EY40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A41:F41"/>
    <mergeCell ref="G41:AN41"/>
    <mergeCell ref="AO41:AW41"/>
    <mergeCell ref="AX41:BF41"/>
    <mergeCell ref="CZ40:DH40"/>
    <mergeCell ref="DI40:DQ40"/>
    <mergeCell ref="CH40:CP40"/>
    <mergeCell ref="CQ40:CY40"/>
    <mergeCell ref="DI41:DQ41"/>
    <mergeCell ref="DR41:DZ41"/>
    <mergeCell ref="BG41:BO41"/>
    <mergeCell ref="BP41:BX41"/>
    <mergeCell ref="BY41:CG41"/>
    <mergeCell ref="CH41:CP41"/>
    <mergeCell ref="CQ41:CY41"/>
    <mergeCell ref="CZ41:DH41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A43:F43"/>
    <mergeCell ref="G43:AN43"/>
    <mergeCell ref="AO43:AW43"/>
    <mergeCell ref="AX43:BF43"/>
    <mergeCell ref="CZ42:DH42"/>
    <mergeCell ref="DI42:DQ42"/>
    <mergeCell ref="CH42:CP42"/>
    <mergeCell ref="CQ42:CY42"/>
    <mergeCell ref="DI43:DQ43"/>
    <mergeCell ref="DR43:DZ43"/>
    <mergeCell ref="BG43:BO43"/>
    <mergeCell ref="BP43:BX43"/>
    <mergeCell ref="BY43:CG43"/>
    <mergeCell ref="CH43:CP43"/>
    <mergeCell ref="CQ43:CY43"/>
    <mergeCell ref="CZ43:DH43"/>
    <mergeCell ref="DR44:DZ44"/>
    <mergeCell ref="EA44:EY44"/>
    <mergeCell ref="EA43:EY43"/>
    <mergeCell ref="A44:F44"/>
    <mergeCell ref="G44:AN44"/>
    <mergeCell ref="AO44:AW44"/>
    <mergeCell ref="AX44:BF44"/>
    <mergeCell ref="BG44:BO44"/>
    <mergeCell ref="BP44:BX44"/>
    <mergeCell ref="BY44:CG44"/>
    <mergeCell ref="A45:F45"/>
    <mergeCell ref="G45:AN45"/>
    <mergeCell ref="AO45:AW45"/>
    <mergeCell ref="AX45:BF45"/>
    <mergeCell ref="CZ44:DH44"/>
    <mergeCell ref="DI44:DQ44"/>
    <mergeCell ref="CH44:CP44"/>
    <mergeCell ref="CQ44:CY44"/>
    <mergeCell ref="DI45:DQ45"/>
    <mergeCell ref="DR45:DZ45"/>
    <mergeCell ref="BG45:BO45"/>
    <mergeCell ref="BP45:BX45"/>
    <mergeCell ref="BY45:CG45"/>
    <mergeCell ref="CH45:CP45"/>
    <mergeCell ref="CQ45:CY45"/>
    <mergeCell ref="CZ45:DH45"/>
    <mergeCell ref="DR46:DZ46"/>
    <mergeCell ref="EA46:EY46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A47:F47"/>
    <mergeCell ref="G47:AN47"/>
    <mergeCell ref="AO47:AW47"/>
    <mergeCell ref="AX47:BF47"/>
    <mergeCell ref="CZ46:DH46"/>
    <mergeCell ref="DI46:DQ46"/>
    <mergeCell ref="CH46:CP46"/>
    <mergeCell ref="CQ46:CY46"/>
    <mergeCell ref="DI47:DQ47"/>
    <mergeCell ref="DR47:DZ47"/>
    <mergeCell ref="BG47:BO47"/>
    <mergeCell ref="BP47:BX47"/>
    <mergeCell ref="BY47:CG47"/>
    <mergeCell ref="CH47:CP47"/>
    <mergeCell ref="CQ47:CY47"/>
    <mergeCell ref="CZ47:DH47"/>
    <mergeCell ref="DI48:DQ48"/>
    <mergeCell ref="DR48:DZ48"/>
    <mergeCell ref="EA48:EY48"/>
    <mergeCell ref="EA47:EY47"/>
    <mergeCell ref="A48:F48"/>
    <mergeCell ref="G48:AN48"/>
    <mergeCell ref="AO48:AW48"/>
    <mergeCell ref="AX48:BF48"/>
    <mergeCell ref="BG48:BO48"/>
    <mergeCell ref="BP48:BX48"/>
    <mergeCell ref="CH49:CP49"/>
    <mergeCell ref="A49:F49"/>
    <mergeCell ref="G49:AN49"/>
    <mergeCell ref="AO49:AW49"/>
    <mergeCell ref="AX49:BF49"/>
    <mergeCell ref="CZ48:DH48"/>
    <mergeCell ref="BY48:CG48"/>
    <mergeCell ref="CH48:CP48"/>
    <mergeCell ref="CQ48:CY48"/>
    <mergeCell ref="EA49:EY49"/>
    <mergeCell ref="E54:BH54"/>
    <mergeCell ref="DB54:DX54"/>
    <mergeCell ref="CQ49:CY49"/>
    <mergeCell ref="CZ49:DH49"/>
    <mergeCell ref="DI49:DQ49"/>
    <mergeCell ref="DR49:DZ49"/>
    <mergeCell ref="BG49:BO49"/>
    <mergeCell ref="BP49:BX49"/>
    <mergeCell ref="BY49:CG49"/>
  </mergeCells>
  <printOptions horizontalCentered="1"/>
  <pageMargins left="0.7875" right="0.7083333333333334" top="0.5902777777777778" bottom="0.31527777777777777" header="0.19652777777777777" footer="0.5118055555555555"/>
  <pageSetup horizontalDpi="300" verticalDpi="300" orientation="portrait" paperSize="9" scale="6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85" zoomScaleNormal="60" zoomScaleSheetLayoutView="85" zoomScalePageLayoutView="0" workbookViewId="0" topLeftCell="A1">
      <selection activeCell="G29" sqref="G29"/>
    </sheetView>
  </sheetViews>
  <sheetFormatPr defaultColWidth="11.625" defaultRowHeight="12.75" customHeight="1"/>
  <cols>
    <col min="1" max="1" width="6.25390625" style="136" customWidth="1"/>
    <col min="2" max="2" width="25.75390625" style="136" customWidth="1"/>
    <col min="3" max="8" width="6.125" style="136" customWidth="1"/>
    <col min="9" max="9" width="6.875" style="136" customWidth="1"/>
    <col min="10" max="10" width="9.75390625" style="136" customWidth="1"/>
    <col min="11" max="11" width="11.875" style="136" customWidth="1"/>
    <col min="12" max="12" width="11.375" style="136" customWidth="1"/>
    <col min="13" max="22" width="6.125" style="136" customWidth="1"/>
    <col min="23" max="16384" width="11.625" style="136" customWidth="1"/>
  </cols>
  <sheetData>
    <row r="1" spans="18:22" ht="12.75" customHeight="1">
      <c r="R1" s="292" t="s">
        <v>249</v>
      </c>
      <c r="S1" s="292"/>
      <c r="T1" s="292"/>
      <c r="U1" s="292"/>
      <c r="V1" s="292"/>
    </row>
    <row r="2" spans="18:22" ht="12.75" customHeight="1">
      <c r="R2" s="292" t="s">
        <v>1</v>
      </c>
      <c r="S2" s="292"/>
      <c r="T2" s="292"/>
      <c r="U2" s="292"/>
      <c r="V2" s="292"/>
    </row>
    <row r="3" spans="18:22" ht="12.75" customHeight="1">
      <c r="R3" s="292" t="s">
        <v>2</v>
      </c>
      <c r="S3" s="292"/>
      <c r="T3" s="292"/>
      <c r="U3" s="292"/>
      <c r="V3" s="292"/>
    </row>
    <row r="4" spans="18:22" ht="12.75" customHeight="1">
      <c r="R4" s="137"/>
      <c r="S4" s="137"/>
      <c r="T4" s="137"/>
      <c r="U4" s="137"/>
      <c r="V4" s="137"/>
    </row>
    <row r="5" spans="18:22" ht="12.75" customHeight="1">
      <c r="R5" s="293" t="s">
        <v>343</v>
      </c>
      <c r="S5" s="293"/>
      <c r="T5" s="293"/>
      <c r="U5" s="293"/>
      <c r="V5" s="293"/>
    </row>
    <row r="6" spans="18:22" ht="24" customHeight="1">
      <c r="R6" s="294"/>
      <c r="S6" s="294"/>
      <c r="T6" s="294"/>
      <c r="U6" s="294"/>
      <c r="V6" s="294"/>
    </row>
    <row r="7" spans="18:22" ht="12.75" customHeight="1">
      <c r="R7" s="292" t="s">
        <v>4</v>
      </c>
      <c r="S7" s="292"/>
      <c r="T7" s="292"/>
      <c r="U7" s="292"/>
      <c r="V7" s="292"/>
    </row>
    <row r="8" spans="18:22" ht="12.75" customHeight="1">
      <c r="R8" s="137"/>
      <c r="S8" s="137"/>
      <c r="T8" s="137"/>
      <c r="U8" s="137"/>
      <c r="V8" s="137"/>
    </row>
    <row r="9" spans="18:22" ht="12.75" customHeight="1">
      <c r="R9" s="295" t="s">
        <v>5</v>
      </c>
      <c r="S9" s="295"/>
      <c r="T9" s="295"/>
      <c r="U9" s="295"/>
      <c r="V9" s="295"/>
    </row>
    <row r="10" spans="18:22" ht="12.75" customHeight="1">
      <c r="R10" s="292" t="s">
        <v>7</v>
      </c>
      <c r="S10" s="292"/>
      <c r="T10" s="292"/>
      <c r="U10" s="292"/>
      <c r="V10" s="292"/>
    </row>
    <row r="13" spans="1:22" ht="14.25" customHeight="1">
      <c r="A13" s="289" t="s">
        <v>344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</row>
    <row r="15" spans="1:22" ht="14.25" customHeight="1">
      <c r="A15" s="290" t="s">
        <v>345</v>
      </c>
      <c r="B15" s="291" t="s">
        <v>346</v>
      </c>
      <c r="C15" s="290" t="s">
        <v>347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 t="s">
        <v>348</v>
      </c>
      <c r="N15" s="290"/>
      <c r="O15" s="290"/>
      <c r="P15" s="290"/>
      <c r="Q15" s="290"/>
      <c r="R15" s="290"/>
      <c r="S15" s="290"/>
      <c r="T15" s="290"/>
      <c r="U15" s="290"/>
      <c r="V15" s="290"/>
    </row>
    <row r="16" spans="1:22" ht="14.25" customHeight="1">
      <c r="A16" s="290"/>
      <c r="B16" s="291"/>
      <c r="C16" s="290" t="s">
        <v>349</v>
      </c>
      <c r="D16" s="290"/>
      <c r="E16" s="290"/>
      <c r="F16" s="290"/>
      <c r="G16" s="290"/>
      <c r="H16" s="290" t="s">
        <v>30</v>
      </c>
      <c r="I16" s="290"/>
      <c r="J16" s="290"/>
      <c r="K16" s="290"/>
      <c r="L16" s="290"/>
      <c r="M16" s="290" t="s">
        <v>349</v>
      </c>
      <c r="N16" s="290"/>
      <c r="O16" s="290"/>
      <c r="P16" s="290"/>
      <c r="Q16" s="290"/>
      <c r="R16" s="290" t="s">
        <v>30</v>
      </c>
      <c r="S16" s="290"/>
      <c r="T16" s="290"/>
      <c r="U16" s="290"/>
      <c r="V16" s="290"/>
    </row>
    <row r="17" spans="1:22" ht="14.25" customHeight="1">
      <c r="A17" s="290"/>
      <c r="B17" s="291"/>
      <c r="C17" s="290" t="s">
        <v>350</v>
      </c>
      <c r="D17" s="290"/>
      <c r="E17" s="290"/>
      <c r="F17" s="290"/>
      <c r="G17" s="290"/>
      <c r="H17" s="290" t="s">
        <v>350</v>
      </c>
      <c r="I17" s="290"/>
      <c r="J17" s="290"/>
      <c r="K17" s="290"/>
      <c r="L17" s="290"/>
      <c r="M17" s="290" t="s">
        <v>350</v>
      </c>
      <c r="N17" s="290"/>
      <c r="O17" s="290"/>
      <c r="P17" s="290"/>
      <c r="Q17" s="290"/>
      <c r="R17" s="290" t="s">
        <v>350</v>
      </c>
      <c r="S17" s="290"/>
      <c r="T17" s="290"/>
      <c r="U17" s="290"/>
      <c r="V17" s="290"/>
    </row>
    <row r="18" spans="1:22" ht="12.75" customHeight="1">
      <c r="A18" s="290"/>
      <c r="B18" s="291"/>
      <c r="C18" s="164" t="s">
        <v>20</v>
      </c>
      <c r="D18" s="164" t="s">
        <v>21</v>
      </c>
      <c r="E18" s="164" t="s">
        <v>22</v>
      </c>
      <c r="F18" s="164" t="s">
        <v>23</v>
      </c>
      <c r="G18" s="164" t="s">
        <v>351</v>
      </c>
      <c r="H18" s="164" t="s">
        <v>20</v>
      </c>
      <c r="I18" s="164" t="s">
        <v>21</v>
      </c>
      <c r="J18" s="164" t="s">
        <v>22</v>
      </c>
      <c r="K18" s="164" t="s">
        <v>23</v>
      </c>
      <c r="L18" s="164" t="s">
        <v>351</v>
      </c>
      <c r="M18" s="164" t="s">
        <v>20</v>
      </c>
      <c r="N18" s="164" t="s">
        <v>21</v>
      </c>
      <c r="O18" s="164" t="s">
        <v>22</v>
      </c>
      <c r="P18" s="164" t="s">
        <v>23</v>
      </c>
      <c r="Q18" s="164" t="s">
        <v>351</v>
      </c>
      <c r="R18" s="164" t="s">
        <v>20</v>
      </c>
      <c r="S18" s="164" t="s">
        <v>21</v>
      </c>
      <c r="T18" s="164" t="s">
        <v>22</v>
      </c>
      <c r="U18" s="164" t="s">
        <v>23</v>
      </c>
      <c r="V18" s="164" t="s">
        <v>351</v>
      </c>
    </row>
    <row r="19" spans="1:22" s="138" customFormat="1" ht="83.25" customHeight="1">
      <c r="A19" s="165" t="s">
        <v>265</v>
      </c>
      <c r="B19" s="166" t="s">
        <v>198</v>
      </c>
      <c r="C19" s="164">
        <v>0</v>
      </c>
      <c r="D19" s="164" t="s">
        <v>352</v>
      </c>
      <c r="E19" s="164" t="s">
        <v>352</v>
      </c>
      <c r="F19" s="164">
        <v>0</v>
      </c>
      <c r="G19" s="164">
        <v>0</v>
      </c>
      <c r="H19" s="164">
        <v>0</v>
      </c>
      <c r="I19" s="164">
        <v>0</v>
      </c>
      <c r="J19" s="167" t="s">
        <v>353</v>
      </c>
      <c r="K19" s="164">
        <v>0</v>
      </c>
      <c r="L19" s="167" t="str">
        <f>J19</f>
        <v>0,001/0,533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</row>
    <row r="20" spans="1:22" s="138" customFormat="1" ht="87" customHeight="1">
      <c r="A20" s="165" t="s">
        <v>189</v>
      </c>
      <c r="B20" s="166" t="s">
        <v>196</v>
      </c>
      <c r="C20" s="164">
        <v>0</v>
      </c>
      <c r="D20" s="164" t="s">
        <v>352</v>
      </c>
      <c r="E20" s="164" t="s">
        <v>352</v>
      </c>
      <c r="F20" s="164">
        <v>0</v>
      </c>
      <c r="G20" s="164">
        <v>0</v>
      </c>
      <c r="H20" s="164">
        <v>0</v>
      </c>
      <c r="I20" s="167">
        <v>0.5525</v>
      </c>
      <c r="J20" s="164">
        <v>0</v>
      </c>
      <c r="K20" s="164">
        <v>0</v>
      </c>
      <c r="L20" s="167">
        <v>0.5525</v>
      </c>
      <c r="M20" s="164"/>
      <c r="N20" s="164"/>
      <c r="O20" s="164"/>
      <c r="P20" s="164"/>
      <c r="Q20" s="164"/>
      <c r="R20" s="164"/>
      <c r="S20" s="164"/>
      <c r="T20" s="164"/>
      <c r="U20" s="164"/>
      <c r="V20" s="164"/>
    </row>
    <row r="21" spans="1:22" s="138" customFormat="1" ht="99" customHeight="1">
      <c r="A21" s="165" t="s">
        <v>207</v>
      </c>
      <c r="B21" s="166" t="s">
        <v>204</v>
      </c>
      <c r="C21" s="164">
        <v>0</v>
      </c>
      <c r="D21" s="164" t="s">
        <v>352</v>
      </c>
      <c r="E21" s="164" t="s">
        <v>352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7" t="s">
        <v>354</v>
      </c>
      <c r="L21" s="167" t="s">
        <v>354</v>
      </c>
      <c r="M21" s="164"/>
      <c r="N21" s="164"/>
      <c r="O21" s="164"/>
      <c r="P21" s="164"/>
      <c r="Q21" s="164"/>
      <c r="R21" s="164"/>
      <c r="S21" s="164"/>
      <c r="T21" s="164"/>
      <c r="U21" s="164"/>
      <c r="V21" s="164"/>
    </row>
    <row r="22" spans="1:22" s="138" customFormat="1" ht="75">
      <c r="A22" s="165" t="s">
        <v>266</v>
      </c>
      <c r="B22" s="166" t="s">
        <v>206</v>
      </c>
      <c r="C22" s="164">
        <v>0</v>
      </c>
      <c r="D22" s="164" t="s">
        <v>352</v>
      </c>
      <c r="E22" s="164" t="s">
        <v>352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7">
        <v>0.154</v>
      </c>
      <c r="L22" s="167">
        <v>0.154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</row>
    <row r="23" ht="13.5" customHeight="1"/>
    <row r="26" spans="2:18" ht="25.5" customHeight="1">
      <c r="B26" s="288" t="s">
        <v>276</v>
      </c>
      <c r="C26" s="288"/>
      <c r="D26" s="288"/>
      <c r="E26" s="28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288" t="s">
        <v>216</v>
      </c>
      <c r="Q26" s="288"/>
      <c r="R26" s="288"/>
    </row>
  </sheetData>
  <sheetProtection selectLockedCells="1" selectUnlockedCells="1"/>
  <mergeCells count="23">
    <mergeCell ref="C16:G16"/>
    <mergeCell ref="H16:L16"/>
    <mergeCell ref="M16:Q16"/>
    <mergeCell ref="R16:V16"/>
    <mergeCell ref="R17:V17"/>
    <mergeCell ref="R1:V1"/>
    <mergeCell ref="R2:V2"/>
    <mergeCell ref="R3:V3"/>
    <mergeCell ref="R5:V5"/>
    <mergeCell ref="R6:V6"/>
    <mergeCell ref="R7:V7"/>
    <mergeCell ref="R9:V9"/>
    <mergeCell ref="R10:V10"/>
    <mergeCell ref="B26:E26"/>
    <mergeCell ref="P26:R26"/>
    <mergeCell ref="A13:V13"/>
    <mergeCell ref="A15:A18"/>
    <mergeCell ref="B15:B18"/>
    <mergeCell ref="C15:L15"/>
    <mergeCell ref="M15:V15"/>
    <mergeCell ref="C17:G17"/>
    <mergeCell ref="H17:L17"/>
    <mergeCell ref="M17:Q17"/>
  </mergeCells>
  <dataValidations count="1">
    <dataValidation type="textLength" operator="lessThanOrEqual" allowBlank="1" showErrorMessage="1" errorTitle="Ошибка" error="Допускается ввод не более 900 символов!" sqref="B21:B22">
      <formula1>900</formula1>
    </dataValidation>
  </dataValidations>
  <printOptions/>
  <pageMargins left="0.7875" right="0.7875" top="1.0527777777777778" bottom="1.0527777777777778" header="0.5118055555555555" footer="0.5118055555555555"/>
  <pageSetup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Normal="60" zoomScaleSheetLayoutView="100" zoomScalePageLayoutView="0" workbookViewId="0" topLeftCell="A10">
      <selection activeCell="C43" sqref="C43"/>
    </sheetView>
  </sheetViews>
  <sheetFormatPr defaultColWidth="11.625" defaultRowHeight="12.75" customHeight="1"/>
  <cols>
    <col min="1" max="1" width="5.875" style="140" customWidth="1"/>
    <col min="2" max="2" width="53.25390625" style="140" customWidth="1"/>
    <col min="3" max="4" width="24.625" style="140" customWidth="1"/>
    <col min="5" max="5" width="25.625" style="140" customWidth="1"/>
    <col min="6" max="6" width="24.625" style="140" customWidth="1"/>
    <col min="7" max="252" width="11.625" style="140" customWidth="1"/>
  </cols>
  <sheetData>
    <row r="1" spans="2:6" ht="12.75" customHeight="1">
      <c r="B1"/>
      <c r="C1"/>
      <c r="D1"/>
      <c r="E1" s="292" t="s">
        <v>355</v>
      </c>
      <c r="F1" s="292"/>
    </row>
    <row r="2" spans="2:6" ht="12.75" customHeight="1">
      <c r="B2"/>
      <c r="C2"/>
      <c r="D2"/>
      <c r="E2" s="292" t="s">
        <v>1</v>
      </c>
      <c r="F2" s="292"/>
    </row>
    <row r="3" spans="2:6" ht="12.75" customHeight="1">
      <c r="B3"/>
      <c r="C3"/>
      <c r="D3"/>
      <c r="E3" s="292" t="s">
        <v>2</v>
      </c>
      <c r="F3" s="292"/>
    </row>
    <row r="4" ht="27.75" customHeight="1">
      <c r="B4"/>
    </row>
    <row r="5" spans="2:6" ht="60.75" customHeight="1">
      <c r="B5"/>
      <c r="C5"/>
      <c r="D5"/>
      <c r="E5" s="293" t="s">
        <v>356</v>
      </c>
      <c r="F5" s="293"/>
    </row>
    <row r="6" spans="2:6" ht="27.75" customHeight="1">
      <c r="B6"/>
      <c r="C6"/>
      <c r="D6"/>
      <c r="E6" s="292" t="s">
        <v>357</v>
      </c>
      <c r="F6" s="292"/>
    </row>
    <row r="7" spans="2:6" ht="27.75" customHeight="1">
      <c r="B7"/>
      <c r="C7"/>
      <c r="D7"/>
      <c r="E7" s="292" t="s">
        <v>4</v>
      </c>
      <c r="F7" s="292"/>
    </row>
    <row r="8" spans="2:6" ht="27.75" customHeight="1">
      <c r="B8"/>
      <c r="C8"/>
      <c r="D8"/>
      <c r="E8" s="295" t="s">
        <v>5</v>
      </c>
      <c r="F8" s="295"/>
    </row>
    <row r="9" spans="2:6" ht="12.75" customHeight="1">
      <c r="B9"/>
      <c r="C9"/>
      <c r="D9"/>
      <c r="E9" s="292" t="s">
        <v>7</v>
      </c>
      <c r="F9" s="292"/>
    </row>
    <row r="14" spans="3:6" ht="12.75" customHeight="1">
      <c r="C14" s="141"/>
      <c r="D14" s="141"/>
      <c r="E14" s="141"/>
      <c r="F14" s="141"/>
    </row>
    <row r="15" spans="1:6" ht="12.75" customHeight="1">
      <c r="A15" s="289" t="s">
        <v>358</v>
      </c>
      <c r="B15" s="289"/>
      <c r="C15" s="289"/>
      <c r="D15" s="289"/>
      <c r="E15" s="289"/>
      <c r="F15" s="289"/>
    </row>
    <row r="16" ht="12.75" customHeight="1">
      <c r="B16" s="142"/>
    </row>
    <row r="17" spans="1:6" ht="12.75" customHeight="1">
      <c r="A17" s="297" t="s">
        <v>359</v>
      </c>
      <c r="B17" s="298" t="s">
        <v>360</v>
      </c>
      <c r="C17" s="298" t="s">
        <v>361</v>
      </c>
      <c r="D17" s="298"/>
      <c r="E17" s="168"/>
      <c r="F17" s="168"/>
    </row>
    <row r="18" spans="1:6" ht="87" customHeight="1">
      <c r="A18" s="297"/>
      <c r="B18" s="298"/>
      <c r="C18" s="165" t="s">
        <v>196</v>
      </c>
      <c r="D18" s="165" t="s">
        <v>198</v>
      </c>
      <c r="E18" s="165" t="s">
        <v>438</v>
      </c>
      <c r="F18" s="165" t="s">
        <v>206</v>
      </c>
    </row>
    <row r="19" spans="1:6" ht="12.75" customHeight="1">
      <c r="A19" s="168">
        <v>1</v>
      </c>
      <c r="B19" s="169" t="s">
        <v>362</v>
      </c>
      <c r="C19" s="170" t="s">
        <v>363</v>
      </c>
      <c r="D19" s="170" t="s">
        <v>364</v>
      </c>
      <c r="E19" s="170" t="s">
        <v>364</v>
      </c>
      <c r="F19" s="170" t="s">
        <v>364</v>
      </c>
    </row>
    <row r="20" spans="1:6" ht="12.75" customHeight="1">
      <c r="A20" s="168">
        <v>1.1</v>
      </c>
      <c r="B20" s="169" t="s">
        <v>365</v>
      </c>
      <c r="C20" s="170" t="s">
        <v>363</v>
      </c>
      <c r="D20" s="170" t="s">
        <v>364</v>
      </c>
      <c r="E20" s="170" t="s">
        <v>364</v>
      </c>
      <c r="F20" s="170" t="s">
        <v>364</v>
      </c>
    </row>
    <row r="21" spans="1:6" ht="12.75" customHeight="1">
      <c r="A21" s="168">
        <v>1.2</v>
      </c>
      <c r="B21" s="169" t="s">
        <v>366</v>
      </c>
      <c r="C21" s="170" t="s">
        <v>363</v>
      </c>
      <c r="D21" s="170" t="s">
        <v>364</v>
      </c>
      <c r="E21" s="170" t="s">
        <v>364</v>
      </c>
      <c r="F21" s="170" t="s">
        <v>364</v>
      </c>
    </row>
    <row r="22" spans="1:6" ht="12.75" customHeight="1">
      <c r="A22" s="168">
        <v>1.3</v>
      </c>
      <c r="B22" s="169" t="s">
        <v>367</v>
      </c>
      <c r="C22" s="170" t="s">
        <v>363</v>
      </c>
      <c r="D22" s="170" t="s">
        <v>364</v>
      </c>
      <c r="E22" s="170" t="s">
        <v>364</v>
      </c>
      <c r="F22" s="170" t="s">
        <v>364</v>
      </c>
    </row>
    <row r="23" spans="1:6" ht="25.5" customHeight="1">
      <c r="A23" s="168">
        <v>1.4</v>
      </c>
      <c r="B23" s="169" t="s">
        <v>368</v>
      </c>
      <c r="C23" s="170" t="s">
        <v>363</v>
      </c>
      <c r="D23" s="170" t="s">
        <v>363</v>
      </c>
      <c r="E23" s="170" t="s">
        <v>363</v>
      </c>
      <c r="F23" s="170" t="s">
        <v>363</v>
      </c>
    </row>
    <row r="24" spans="1:6" ht="12.75" customHeight="1">
      <c r="A24" s="168">
        <v>1.5</v>
      </c>
      <c r="B24" s="169" t="s">
        <v>369</v>
      </c>
      <c r="C24" s="170" t="s">
        <v>363</v>
      </c>
      <c r="D24" s="170" t="s">
        <v>364</v>
      </c>
      <c r="E24" s="170" t="s">
        <v>364</v>
      </c>
      <c r="F24" s="170" t="s">
        <v>364</v>
      </c>
    </row>
    <row r="25" spans="1:6" ht="12.75" customHeight="1">
      <c r="A25" s="168">
        <v>1.6</v>
      </c>
      <c r="B25" s="169" t="s">
        <v>370</v>
      </c>
      <c r="C25" s="170" t="s">
        <v>363</v>
      </c>
      <c r="D25" s="170" t="s">
        <v>364</v>
      </c>
      <c r="E25" s="170" t="s">
        <v>364</v>
      </c>
      <c r="F25" s="170" t="s">
        <v>364</v>
      </c>
    </row>
    <row r="26" spans="1:6" ht="12.75" customHeight="1">
      <c r="A26" s="168">
        <v>2</v>
      </c>
      <c r="B26" s="169" t="s">
        <v>371</v>
      </c>
      <c r="C26" s="170" t="s">
        <v>364</v>
      </c>
      <c r="D26" s="170" t="s">
        <v>364</v>
      </c>
      <c r="E26" s="170" t="s">
        <v>364</v>
      </c>
      <c r="F26" s="170" t="s">
        <v>364</v>
      </c>
    </row>
    <row r="27" spans="1:6" ht="12.75" customHeight="1">
      <c r="A27" s="168">
        <v>2.1</v>
      </c>
      <c r="B27" s="169" t="s">
        <v>372</v>
      </c>
      <c r="C27" s="170" t="s">
        <v>364</v>
      </c>
      <c r="D27" s="170" t="s">
        <v>364</v>
      </c>
      <c r="E27" s="170" t="s">
        <v>364</v>
      </c>
      <c r="F27" s="170" t="s">
        <v>364</v>
      </c>
    </row>
    <row r="28" spans="1:6" ht="25.5" customHeight="1">
      <c r="A28" s="168">
        <v>2.2</v>
      </c>
      <c r="B28" s="169" t="s">
        <v>373</v>
      </c>
      <c r="C28" s="170" t="s">
        <v>363</v>
      </c>
      <c r="D28" s="170" t="s">
        <v>363</v>
      </c>
      <c r="E28" s="170" t="s">
        <v>363</v>
      </c>
      <c r="F28" s="170" t="s">
        <v>363</v>
      </c>
    </row>
    <row r="29" spans="1:6" ht="25.5" customHeight="1">
      <c r="A29" s="168">
        <v>2.3</v>
      </c>
      <c r="B29" s="169" t="s">
        <v>374</v>
      </c>
      <c r="C29" s="170" t="s">
        <v>363</v>
      </c>
      <c r="D29" s="170" t="s">
        <v>363</v>
      </c>
      <c r="E29" s="170" t="s">
        <v>363</v>
      </c>
      <c r="F29" s="170" t="s">
        <v>363</v>
      </c>
    </row>
    <row r="30" spans="1:6" ht="25.5" customHeight="1">
      <c r="A30" s="168">
        <v>2.1</v>
      </c>
      <c r="B30" s="169" t="s">
        <v>375</v>
      </c>
      <c r="C30" s="170" t="s">
        <v>364</v>
      </c>
      <c r="D30" s="170" t="s">
        <v>364</v>
      </c>
      <c r="E30" s="170" t="s">
        <v>364</v>
      </c>
      <c r="F30" s="170" t="s">
        <v>364</v>
      </c>
    </row>
    <row r="31" spans="1:6" ht="25.5" customHeight="1">
      <c r="A31" s="168">
        <v>2.1</v>
      </c>
      <c r="B31" s="169" t="s">
        <v>376</v>
      </c>
      <c r="C31" s="170" t="s">
        <v>364</v>
      </c>
      <c r="D31" s="170" t="s">
        <v>364</v>
      </c>
      <c r="E31" s="170" t="s">
        <v>364</v>
      </c>
      <c r="F31" s="170" t="s">
        <v>364</v>
      </c>
    </row>
    <row r="32" spans="1:6" ht="12.75" customHeight="1">
      <c r="A32" s="168">
        <v>3</v>
      </c>
      <c r="B32" s="169" t="s">
        <v>377</v>
      </c>
      <c r="C32" s="170" t="s">
        <v>364</v>
      </c>
      <c r="D32" s="170" t="s">
        <v>364</v>
      </c>
      <c r="E32" s="170" t="s">
        <v>364</v>
      </c>
      <c r="F32" s="170" t="s">
        <v>364</v>
      </c>
    </row>
    <row r="33" spans="1:6" ht="12.75" customHeight="1">
      <c r="A33" s="168">
        <v>3.1</v>
      </c>
      <c r="B33" s="169" t="s">
        <v>378</v>
      </c>
      <c r="C33" s="170" t="s">
        <v>364</v>
      </c>
      <c r="D33" s="170" t="s">
        <v>364</v>
      </c>
      <c r="E33" s="170" t="s">
        <v>364</v>
      </c>
      <c r="F33" s="170" t="s">
        <v>364</v>
      </c>
    </row>
    <row r="34" spans="1:6" ht="12.75" customHeight="1">
      <c r="A34" s="168">
        <v>3.2</v>
      </c>
      <c r="B34" s="169" t="s">
        <v>379</v>
      </c>
      <c r="C34" s="170" t="s">
        <v>364</v>
      </c>
      <c r="D34" s="170" t="s">
        <v>364</v>
      </c>
      <c r="E34" s="170" t="s">
        <v>364</v>
      </c>
      <c r="F34" s="170" t="s">
        <v>364</v>
      </c>
    </row>
    <row r="35" spans="1:6" ht="12.75" customHeight="1">
      <c r="A35" s="168">
        <v>3.3</v>
      </c>
      <c r="B35" s="169" t="s">
        <v>380</v>
      </c>
      <c r="C35" s="170" t="s">
        <v>364</v>
      </c>
      <c r="D35" s="170" t="s">
        <v>364</v>
      </c>
      <c r="E35" s="170" t="s">
        <v>364</v>
      </c>
      <c r="F35" s="170" t="s">
        <v>364</v>
      </c>
    </row>
    <row r="36" spans="1:6" ht="12.75" customHeight="1">
      <c r="A36" s="168">
        <v>3.4</v>
      </c>
      <c r="B36" s="169" t="s">
        <v>381</v>
      </c>
      <c r="C36" s="170" t="s">
        <v>364</v>
      </c>
      <c r="D36" s="170" t="s">
        <v>364</v>
      </c>
      <c r="E36" s="170" t="s">
        <v>364</v>
      </c>
      <c r="F36" s="170" t="s">
        <v>364</v>
      </c>
    </row>
    <row r="37" spans="1:6" ht="12.75" customHeight="1">
      <c r="A37" s="168">
        <v>4</v>
      </c>
      <c r="B37" s="169" t="s">
        <v>382</v>
      </c>
      <c r="C37" s="170" t="s">
        <v>364</v>
      </c>
      <c r="D37" s="170" t="s">
        <v>364</v>
      </c>
      <c r="E37" s="170" t="s">
        <v>364</v>
      </c>
      <c r="F37" s="170" t="s">
        <v>364</v>
      </c>
    </row>
    <row r="38" spans="1:6" ht="25.5" customHeight="1">
      <c r="A38" s="168">
        <v>4.1</v>
      </c>
      <c r="B38" s="169" t="s">
        <v>383</v>
      </c>
      <c r="C38" s="170" t="s">
        <v>363</v>
      </c>
      <c r="D38" s="170" t="s">
        <v>364</v>
      </c>
      <c r="E38" s="170" t="s">
        <v>364</v>
      </c>
      <c r="F38" s="170" t="s">
        <v>364</v>
      </c>
    </row>
    <row r="39" spans="1:6" ht="12.75" customHeight="1">
      <c r="A39" s="168">
        <v>4.2</v>
      </c>
      <c r="B39" s="169" t="s">
        <v>384</v>
      </c>
      <c r="C39" s="170" t="s">
        <v>363</v>
      </c>
      <c r="D39" s="170" t="s">
        <v>364</v>
      </c>
      <c r="E39" s="170" t="s">
        <v>364</v>
      </c>
      <c r="F39" s="170" t="s">
        <v>364</v>
      </c>
    </row>
    <row r="40" spans="1:6" ht="12.75" customHeight="1">
      <c r="A40" s="168">
        <v>4.3</v>
      </c>
      <c r="B40" s="169" t="s">
        <v>385</v>
      </c>
      <c r="C40" s="170" t="s">
        <v>364</v>
      </c>
      <c r="D40" s="170" t="s">
        <v>364</v>
      </c>
      <c r="E40" s="170" t="s">
        <v>364</v>
      </c>
      <c r="F40" s="170" t="s">
        <v>364</v>
      </c>
    </row>
    <row r="43" spans="1:4" ht="12.75" customHeight="1">
      <c r="A43" s="296" t="s">
        <v>386</v>
      </c>
      <c r="B43" s="296"/>
      <c r="C43" s="143"/>
      <c r="D43" s="143" t="s">
        <v>216</v>
      </c>
    </row>
  </sheetData>
  <sheetProtection selectLockedCells="1" selectUnlockedCells="1"/>
  <mergeCells count="13">
    <mergeCell ref="A43:B43"/>
    <mergeCell ref="A15:F15"/>
    <mergeCell ref="A17:A18"/>
    <mergeCell ref="B17:B18"/>
    <mergeCell ref="C17:D17"/>
    <mergeCell ref="E7:F7"/>
    <mergeCell ref="E8:F8"/>
    <mergeCell ref="E9:F9"/>
    <mergeCell ref="E1:F1"/>
    <mergeCell ref="E2:F2"/>
    <mergeCell ref="E3:F3"/>
    <mergeCell ref="E5:F5"/>
    <mergeCell ref="E6:F6"/>
  </mergeCells>
  <printOptions/>
  <pageMargins left="0.7875" right="0.7875" top="1.0527777777777778" bottom="1.0527777777777778" header="0.5118055555555555" footer="0.5118055555555555"/>
  <pageSetup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53"/>
  <sheetViews>
    <sheetView view="pageBreakPreview" zoomScaleNormal="60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94" width="0.875" style="144" customWidth="1"/>
    <col min="95" max="95" width="1.75390625" style="144" customWidth="1"/>
    <col min="96" max="105" width="0.875" style="144" customWidth="1"/>
    <col min="106" max="106" width="12.125" style="144" customWidth="1"/>
    <col min="107" max="107" width="11.25390625" style="144" bestFit="1" customWidth="1"/>
    <col min="108" max="16384" width="0.875" style="144" customWidth="1"/>
  </cols>
  <sheetData>
    <row r="1" spans="81:105" ht="33.75" customHeight="1">
      <c r="CC1" s="325" t="s">
        <v>387</v>
      </c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</row>
    <row r="3" spans="1:105" s="118" customFormat="1" ht="31.5" customHeight="1">
      <c r="A3" s="279" t="s">
        <v>388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</row>
    <row r="5" spans="11:91" s="145" customFormat="1" ht="12.75" customHeight="1">
      <c r="K5" s="326" t="s">
        <v>389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7" t="s">
        <v>390</v>
      </c>
      <c r="BF5" s="327"/>
      <c r="BG5" s="327"/>
      <c r="BH5" s="327"/>
      <c r="BI5" s="328" t="s">
        <v>391</v>
      </c>
      <c r="BJ5" s="328"/>
      <c r="BK5" s="328"/>
      <c r="BL5" s="328"/>
      <c r="BM5" s="328"/>
      <c r="BN5" s="328"/>
      <c r="BO5" s="328"/>
      <c r="BP5" s="328"/>
      <c r="BQ5" s="328"/>
      <c r="BR5" s="328"/>
      <c r="BS5" s="327" t="s">
        <v>273</v>
      </c>
      <c r="BT5" s="327"/>
      <c r="BU5" s="327"/>
      <c r="BV5" s="327"/>
      <c r="BW5" s="327"/>
      <c r="BX5" s="327"/>
      <c r="BY5" s="327"/>
      <c r="BZ5" s="329" t="s">
        <v>392</v>
      </c>
      <c r="CA5" s="329"/>
      <c r="CB5" s="329"/>
      <c r="CC5" s="329"/>
      <c r="CD5" s="329"/>
      <c r="CE5" s="329"/>
      <c r="CF5" s="327" t="s">
        <v>393</v>
      </c>
      <c r="CG5" s="327"/>
      <c r="CH5" s="327"/>
      <c r="CI5" s="327"/>
      <c r="CJ5" s="327"/>
      <c r="CK5" s="327"/>
      <c r="CL5" s="327"/>
      <c r="CM5" s="145" t="s">
        <v>394</v>
      </c>
    </row>
    <row r="6" spans="37:64" ht="12.75" customHeight="1"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</row>
    <row r="7" spans="78:105" ht="78.75" customHeight="1">
      <c r="BZ7" s="281" t="s">
        <v>395</v>
      </c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</row>
    <row r="8" spans="78:105" ht="12.75"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</row>
    <row r="9" spans="77:105" ht="12.75" customHeight="1">
      <c r="BY9" s="146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1"/>
      <c r="DA9" s="331"/>
    </row>
    <row r="10" spans="78:105" ht="12.75" customHeight="1">
      <c r="BZ10" s="283" t="s">
        <v>4</v>
      </c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</row>
    <row r="11" spans="77:104" ht="12.75" customHeight="1">
      <c r="BY11" s="320" t="s">
        <v>281</v>
      </c>
      <c r="BZ11" s="320"/>
      <c r="CA11" s="323" t="s">
        <v>282</v>
      </c>
      <c r="CB11" s="323"/>
      <c r="CC11" s="323"/>
      <c r="CD11" s="324" t="s">
        <v>281</v>
      </c>
      <c r="CE11" s="324"/>
      <c r="CF11" s="323" t="s">
        <v>283</v>
      </c>
      <c r="CG11" s="323"/>
      <c r="CH11" s="323"/>
      <c r="CI11" s="323"/>
      <c r="CJ11" s="323"/>
      <c r="CK11" s="323"/>
      <c r="CL11" s="323"/>
      <c r="CM11" s="323"/>
      <c r="CN11" s="323"/>
      <c r="CO11" s="323"/>
      <c r="CP11" s="320">
        <v>20</v>
      </c>
      <c r="CQ11" s="320"/>
      <c r="CR11" s="320"/>
      <c r="CS11" s="321" t="s">
        <v>284</v>
      </c>
      <c r="CT11" s="321"/>
      <c r="CU11" s="321"/>
      <c r="CW11" s="148" t="s">
        <v>6</v>
      </c>
      <c r="CZ11" s="148"/>
    </row>
    <row r="12" ht="12.75">
      <c r="DA12" s="149" t="s">
        <v>8</v>
      </c>
    </row>
    <row r="14" spans="1:105" ht="12.75" customHeight="1">
      <c r="A14" s="322" t="s">
        <v>396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</row>
    <row r="15" spans="1:105" ht="39.75" customHeight="1">
      <c r="A15" s="317" t="s">
        <v>397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8" t="s">
        <v>398</v>
      </c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 t="s">
        <v>399</v>
      </c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</row>
    <row r="16" spans="1:105" ht="12.75" customHeight="1">
      <c r="A16" s="317">
        <v>1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>
        <v>2</v>
      </c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9">
        <v>3</v>
      </c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</row>
    <row r="17" spans="1:105" s="151" customFormat="1" ht="12.75" customHeight="1">
      <c r="A17" s="196"/>
      <c r="B17" s="314" t="s">
        <v>400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5">
        <v>35392.14219</v>
      </c>
      <c r="BC17" s="315">
        <v>35392.14219</v>
      </c>
      <c r="BD17" s="315">
        <v>35392.14219</v>
      </c>
      <c r="BE17" s="315">
        <v>35392.14219</v>
      </c>
      <c r="BF17" s="315">
        <v>35392.14219</v>
      </c>
      <c r="BG17" s="315">
        <v>35392.14219</v>
      </c>
      <c r="BH17" s="315">
        <v>35392.14219</v>
      </c>
      <c r="BI17" s="315">
        <v>35392.14219</v>
      </c>
      <c r="BJ17" s="315">
        <v>35392.14219</v>
      </c>
      <c r="BK17" s="315">
        <v>35392.14219</v>
      </c>
      <c r="BL17" s="315">
        <v>35392.14219</v>
      </c>
      <c r="BM17" s="315">
        <v>35392.14219</v>
      </c>
      <c r="BN17" s="315">
        <v>35392.14219</v>
      </c>
      <c r="BO17" s="315">
        <v>35392.14219</v>
      </c>
      <c r="BP17" s="315">
        <v>35392.14219</v>
      </c>
      <c r="BQ17" s="315">
        <v>35392.14219</v>
      </c>
      <c r="BR17" s="315">
        <v>35392.14219</v>
      </c>
      <c r="BS17" s="315">
        <v>35392.14219</v>
      </c>
      <c r="BT17" s="315">
        <v>35392.14219</v>
      </c>
      <c r="BU17" s="315">
        <v>35392.14219</v>
      </c>
      <c r="BV17" s="315">
        <v>35392.14219</v>
      </c>
      <c r="BW17" s="315">
        <v>35392.14219</v>
      </c>
      <c r="BX17" s="315">
        <v>35392.14219</v>
      </c>
      <c r="BY17" s="315">
        <v>35392.14219</v>
      </c>
      <c r="BZ17" s="315">
        <v>35392.14219</v>
      </c>
      <c r="CA17" s="315">
        <v>35392.14219</v>
      </c>
      <c r="CB17" s="316">
        <v>27664</v>
      </c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</row>
    <row r="18" spans="1:105" s="151" customFormat="1" ht="12.75" customHeight="1">
      <c r="A18" s="209"/>
      <c r="B18" s="308" t="s">
        <v>401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6">
        <v>2294</v>
      </c>
      <c r="BC18" s="306">
        <v>2309</v>
      </c>
      <c r="BD18" s="306">
        <v>2309</v>
      </c>
      <c r="BE18" s="306">
        <v>2309</v>
      </c>
      <c r="BF18" s="306">
        <v>2309</v>
      </c>
      <c r="BG18" s="306">
        <v>2309</v>
      </c>
      <c r="BH18" s="306">
        <v>2309</v>
      </c>
      <c r="BI18" s="306">
        <v>2309</v>
      </c>
      <c r="BJ18" s="306">
        <v>2309</v>
      </c>
      <c r="BK18" s="306">
        <v>2309</v>
      </c>
      <c r="BL18" s="306">
        <v>2309</v>
      </c>
      <c r="BM18" s="306">
        <v>2309</v>
      </c>
      <c r="BN18" s="306">
        <v>2309</v>
      </c>
      <c r="BO18" s="306">
        <v>2309</v>
      </c>
      <c r="BP18" s="306">
        <v>2309</v>
      </c>
      <c r="BQ18" s="306">
        <v>2309</v>
      </c>
      <c r="BR18" s="306">
        <v>2309</v>
      </c>
      <c r="BS18" s="306">
        <v>2309</v>
      </c>
      <c r="BT18" s="306">
        <v>2309</v>
      </c>
      <c r="BU18" s="306">
        <v>2309</v>
      </c>
      <c r="BV18" s="306">
        <v>2309</v>
      </c>
      <c r="BW18" s="306">
        <v>2309</v>
      </c>
      <c r="BX18" s="306">
        <v>2309</v>
      </c>
      <c r="BY18" s="306">
        <v>2309</v>
      </c>
      <c r="BZ18" s="306">
        <v>2309</v>
      </c>
      <c r="CA18" s="306">
        <v>2309</v>
      </c>
      <c r="CB18" s="306">
        <v>5697</v>
      </c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</row>
    <row r="19" spans="1:105" s="151" customFormat="1" ht="12.75" customHeight="1">
      <c r="A19" s="209"/>
      <c r="B19" s="308" t="s">
        <v>402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</row>
    <row r="20" spans="1:105" s="151" customFormat="1" ht="12.75" customHeight="1">
      <c r="A20" s="308"/>
      <c r="B20" s="308"/>
      <c r="C20" s="308"/>
      <c r="D20" s="308" t="s">
        <v>403</v>
      </c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</row>
    <row r="21" spans="1:106" s="151" customFormat="1" ht="12.75" customHeight="1">
      <c r="A21" s="308"/>
      <c r="B21" s="308"/>
      <c r="C21" s="308"/>
      <c r="D21" s="308" t="s">
        <v>404</v>
      </c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>
        <v>5697</v>
      </c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152"/>
    </row>
    <row r="22" spans="1:105" s="151" customFormat="1" ht="12.75" customHeight="1">
      <c r="A22" s="209"/>
      <c r="B22" s="308" t="s">
        <v>405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6">
        <f>(3211)+(3158.94)+(158)</f>
        <v>6527.9400000000005</v>
      </c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>
        <f>7274+646.31303+39</f>
        <v>7959.31303</v>
      </c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</row>
    <row r="23" spans="1:107" s="151" customFormat="1" ht="12.75" customHeight="1">
      <c r="A23" s="209"/>
      <c r="B23" s="308" t="s">
        <v>406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6">
        <f>BB24+BB25</f>
        <v>45455</v>
      </c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>
        <f>CB24+CB25</f>
        <v>15512</v>
      </c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208"/>
      <c r="DC23" s="198"/>
    </row>
    <row r="24" spans="1:107" s="151" customFormat="1" ht="12.75" customHeight="1">
      <c r="A24" s="308"/>
      <c r="B24" s="308"/>
      <c r="C24" s="308"/>
      <c r="D24" s="308" t="s">
        <v>407</v>
      </c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6">
        <v>45455</v>
      </c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>
        <v>15512</v>
      </c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199"/>
      <c r="DC24" s="198"/>
    </row>
    <row r="25" spans="1:107" s="151" customFormat="1" ht="12.75" customHeight="1">
      <c r="A25" s="308"/>
      <c r="B25" s="308"/>
      <c r="C25" s="308"/>
      <c r="D25" s="308" t="s">
        <v>408</v>
      </c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197"/>
      <c r="DC25" s="198"/>
    </row>
    <row r="26" spans="1:107" s="151" customFormat="1" ht="12.75" customHeight="1">
      <c r="A26" s="209"/>
      <c r="B26" s="308" t="s">
        <v>409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6">
        <v>100320</v>
      </c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>
        <v>5707</v>
      </c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199"/>
      <c r="DC26" s="198"/>
    </row>
    <row r="27" spans="1:107" s="151" customFormat="1" ht="25.5" customHeight="1">
      <c r="A27" s="209"/>
      <c r="B27" s="305" t="s">
        <v>410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6">
        <v>227</v>
      </c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>
        <v>10</v>
      </c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198"/>
      <c r="DC27" s="198"/>
    </row>
    <row r="28" spans="1:107" s="151" customFormat="1" ht="12.75" customHeight="1">
      <c r="A28" s="308"/>
      <c r="B28" s="308"/>
      <c r="C28" s="308"/>
      <c r="D28" s="308" t="s">
        <v>411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6">
        <v>0</v>
      </c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>
        <v>0</v>
      </c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198"/>
      <c r="DC28" s="198"/>
    </row>
    <row r="29" spans="1:107" s="151" customFormat="1" ht="12.75" customHeight="1">
      <c r="A29" s="308"/>
      <c r="B29" s="308"/>
      <c r="C29" s="308"/>
      <c r="D29" s="308" t="s">
        <v>412</v>
      </c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6">
        <v>0</v>
      </c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>
        <v>0</v>
      </c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198"/>
      <c r="DC29" s="198"/>
    </row>
    <row r="30" spans="1:107" s="151" customFormat="1" ht="12.75" customHeight="1">
      <c r="A30" s="308"/>
      <c r="B30" s="308"/>
      <c r="C30" s="308"/>
      <c r="D30" s="308" t="s">
        <v>413</v>
      </c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6">
        <v>0</v>
      </c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>
        <v>0</v>
      </c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198"/>
      <c r="DC30" s="198"/>
    </row>
    <row r="31" spans="1:110" s="151" customFormat="1" ht="12.75" customHeight="1">
      <c r="A31" s="308"/>
      <c r="B31" s="308"/>
      <c r="C31" s="308"/>
      <c r="D31" s="308" t="s">
        <v>414</v>
      </c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6">
        <v>227</v>
      </c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>
        <v>0</v>
      </c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200"/>
      <c r="DC31" s="201"/>
      <c r="DF31" s="151">
        <v>96</v>
      </c>
    </row>
    <row r="32" spans="1:107" s="151" customFormat="1" ht="12.75" customHeight="1">
      <c r="A32" s="209"/>
      <c r="B32" s="308" t="s">
        <v>415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6">
        <v>40412</v>
      </c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>
        <f>CB33+CB34</f>
        <v>36769</v>
      </c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200"/>
      <c r="DC32" s="198"/>
    </row>
    <row r="33" spans="1:106" s="151" customFormat="1" ht="12.75" customHeight="1">
      <c r="A33" s="308"/>
      <c r="B33" s="308"/>
      <c r="C33" s="308"/>
      <c r="D33" s="308" t="s">
        <v>416</v>
      </c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6">
        <v>829</v>
      </c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>
        <v>2008</v>
      </c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154"/>
    </row>
    <row r="34" spans="1:105" s="151" customFormat="1" ht="12.75" customHeight="1">
      <c r="A34" s="308"/>
      <c r="B34" s="308"/>
      <c r="C34" s="308"/>
      <c r="D34" s="308" t="s">
        <v>417</v>
      </c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6">
        <v>38086</v>
      </c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>
        <v>34761</v>
      </c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</row>
    <row r="35" spans="1:105" s="155" customFormat="1" ht="12.75" customHeight="1">
      <c r="A35" s="312"/>
      <c r="B35" s="312"/>
      <c r="C35" s="312"/>
      <c r="D35" s="312"/>
      <c r="E35" s="312"/>
      <c r="F35" s="312" t="s">
        <v>418</v>
      </c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</row>
    <row r="36" spans="1:105" s="155" customFormat="1" ht="12.75" customHeight="1">
      <c r="A36" s="312"/>
      <c r="B36" s="312"/>
      <c r="C36" s="312"/>
      <c r="D36" s="312"/>
      <c r="E36" s="312"/>
      <c r="F36" s="312" t="s">
        <v>419</v>
      </c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</row>
    <row r="37" spans="1:105" s="155" customFormat="1" ht="12.75" customHeight="1">
      <c r="A37" s="312"/>
      <c r="B37" s="312"/>
      <c r="C37" s="312"/>
      <c r="D37" s="312"/>
      <c r="E37" s="312"/>
      <c r="F37" s="312" t="s">
        <v>420</v>
      </c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</row>
    <row r="38" spans="1:105" s="151" customFormat="1" ht="12.75" customHeight="1">
      <c r="A38" s="209"/>
      <c r="B38" s="308" t="s">
        <v>421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6">
        <v>158</v>
      </c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>
        <v>39</v>
      </c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</row>
    <row r="39" spans="1:105" ht="13.5" customHeight="1">
      <c r="A39" s="311" t="s">
        <v>422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</row>
    <row r="40" spans="1:105" s="151" customFormat="1" ht="25.5" customHeight="1">
      <c r="A40" s="209"/>
      <c r="B40" s="305" t="s">
        <v>423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6">
        <f>8!DI46*1000</f>
        <v>11459.236248005422</v>
      </c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7" t="s">
        <v>424</v>
      </c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</row>
    <row r="41" spans="1:105" s="151" customFormat="1" ht="12.75" customHeight="1">
      <c r="A41" s="209"/>
      <c r="B41" s="308" t="s">
        <v>425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6">
        <f>8!DR46*1000</f>
        <v>11100.185405762708</v>
      </c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</row>
    <row r="42" spans="1:105" s="151" customFormat="1" ht="12.75" customHeight="1">
      <c r="A42" s="209"/>
      <c r="B42" s="308" t="s">
        <v>426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9">
        <v>1</v>
      </c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</row>
    <row r="43" spans="1:105" s="151" customFormat="1" ht="12.75" customHeight="1">
      <c r="A43" s="209"/>
      <c r="B43" s="308" t="s">
        <v>427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</row>
    <row r="44" spans="1:105" ht="13.5" customHeight="1">
      <c r="A44" s="300" t="s">
        <v>428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</row>
    <row r="45" spans="1:105" s="151" customFormat="1" ht="12.75" customHeight="1">
      <c r="A45" s="153"/>
      <c r="B45" s="301" t="s">
        <v>429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2" t="s">
        <v>430</v>
      </c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B45" s="302"/>
      <c r="CC45" s="302"/>
      <c r="CD45" s="302"/>
      <c r="CE45" s="302"/>
      <c r="CF45" s="302"/>
      <c r="CG45" s="302"/>
      <c r="CH45" s="302"/>
      <c r="CI45" s="302"/>
      <c r="CJ45" s="302"/>
      <c r="CK45" s="302"/>
      <c r="CL45" s="302"/>
      <c r="CM45" s="302"/>
      <c r="CN45" s="302"/>
      <c r="CO45" s="302"/>
      <c r="CP45" s="302"/>
      <c r="CQ45" s="302"/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</row>
    <row r="46" spans="1:105" s="151" customFormat="1" ht="12.75" customHeight="1">
      <c r="A46" s="303"/>
      <c r="B46" s="303"/>
      <c r="C46" s="303"/>
      <c r="D46" s="301" t="s">
        <v>431</v>
      </c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</row>
    <row r="47" spans="1:105" s="151" customFormat="1" ht="12.75" customHeight="1">
      <c r="A47" s="304"/>
      <c r="B47" s="304"/>
      <c r="C47" s="304"/>
      <c r="D47" s="301" t="s">
        <v>432</v>
      </c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</row>
    <row r="48" spans="1:105" s="151" customFormat="1" ht="12.75" customHeight="1">
      <c r="A48" s="156"/>
      <c r="B48" s="301" t="s">
        <v>433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</row>
    <row r="49" spans="3:5" s="114" customFormat="1" ht="15" customHeight="1">
      <c r="C49" s="299" t="s">
        <v>339</v>
      </c>
      <c r="D49" s="299"/>
      <c r="E49" s="114" t="s">
        <v>434</v>
      </c>
    </row>
    <row r="53" spans="1:88" ht="20.25" customHeight="1">
      <c r="A53" s="238" t="s">
        <v>215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157"/>
      <c r="BF53" s="157"/>
      <c r="BG53" s="157"/>
      <c r="BH53" s="157"/>
      <c r="BI53" s="157"/>
      <c r="BJ53" s="157"/>
      <c r="BK53" s="157"/>
      <c r="BL53" s="157"/>
      <c r="BM53" s="157"/>
      <c r="BN53" s="238" t="s">
        <v>216</v>
      </c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</row>
  </sheetData>
  <sheetProtection selectLockedCells="1" selectUnlockedCells="1"/>
  <mergeCells count="127">
    <mergeCell ref="AK6:BL6"/>
    <mergeCell ref="BZ7:DA7"/>
    <mergeCell ref="BZ9:DA9"/>
    <mergeCell ref="BZ10:DA10"/>
    <mergeCell ref="CC1:DA1"/>
    <mergeCell ref="A3:DA3"/>
    <mergeCell ref="K5:BD5"/>
    <mergeCell ref="BE5:BH5"/>
    <mergeCell ref="BI5:BR5"/>
    <mergeCell ref="BS5:BY5"/>
    <mergeCell ref="BZ5:CE5"/>
    <mergeCell ref="CF5:CL5"/>
    <mergeCell ref="CP11:CR11"/>
    <mergeCell ref="CS11:CU11"/>
    <mergeCell ref="A14:BA14"/>
    <mergeCell ref="BB14:CA14"/>
    <mergeCell ref="CB14:DA14"/>
    <mergeCell ref="BY11:BZ11"/>
    <mergeCell ref="CA11:CC11"/>
    <mergeCell ref="CD11:CE11"/>
    <mergeCell ref="CF11:CO11"/>
    <mergeCell ref="A15:BA15"/>
    <mergeCell ref="BB15:CA15"/>
    <mergeCell ref="CB15:DA15"/>
    <mergeCell ref="A16:BA16"/>
    <mergeCell ref="BB16:CA16"/>
    <mergeCell ref="CB16:DA16"/>
    <mergeCell ref="CB20:DA20"/>
    <mergeCell ref="B17:BA17"/>
    <mergeCell ref="BB17:CA17"/>
    <mergeCell ref="CB17:DA17"/>
    <mergeCell ref="B18:BA18"/>
    <mergeCell ref="BB18:CA18"/>
    <mergeCell ref="CB18:DA18"/>
    <mergeCell ref="A21:C21"/>
    <mergeCell ref="D21:BA21"/>
    <mergeCell ref="BB21:CA21"/>
    <mergeCell ref="CB21:DA21"/>
    <mergeCell ref="B19:BA19"/>
    <mergeCell ref="BB19:CA19"/>
    <mergeCell ref="CB19:DA19"/>
    <mergeCell ref="A20:C20"/>
    <mergeCell ref="D20:BA20"/>
    <mergeCell ref="BB20:CA20"/>
    <mergeCell ref="B22:BA22"/>
    <mergeCell ref="BB22:CA22"/>
    <mergeCell ref="CB22:DA22"/>
    <mergeCell ref="B23:BA23"/>
    <mergeCell ref="BB23:CA23"/>
    <mergeCell ref="CB23:DA23"/>
    <mergeCell ref="A25:C25"/>
    <mergeCell ref="D25:BA25"/>
    <mergeCell ref="BB25:CA25"/>
    <mergeCell ref="CB25:DA25"/>
    <mergeCell ref="A24:C24"/>
    <mergeCell ref="D24:BA24"/>
    <mergeCell ref="BB24:CA24"/>
    <mergeCell ref="CB24:DA24"/>
    <mergeCell ref="B26:BA26"/>
    <mergeCell ref="BB26:CA26"/>
    <mergeCell ref="CB26:DA26"/>
    <mergeCell ref="B27:BA27"/>
    <mergeCell ref="BB27:CA27"/>
    <mergeCell ref="CB27:DA27"/>
    <mergeCell ref="A29:C29"/>
    <mergeCell ref="D29:BA29"/>
    <mergeCell ref="BB29:CA29"/>
    <mergeCell ref="CB29:DA29"/>
    <mergeCell ref="A28:C28"/>
    <mergeCell ref="D28:BA28"/>
    <mergeCell ref="BB28:CA28"/>
    <mergeCell ref="CB28:DA28"/>
    <mergeCell ref="CB33:DA33"/>
    <mergeCell ref="A31:C31"/>
    <mergeCell ref="D31:BA31"/>
    <mergeCell ref="BB31:CA31"/>
    <mergeCell ref="CB31:DA31"/>
    <mergeCell ref="A30:C30"/>
    <mergeCell ref="D30:BA30"/>
    <mergeCell ref="BB30:CA30"/>
    <mergeCell ref="CB30:DA30"/>
    <mergeCell ref="A34:C34"/>
    <mergeCell ref="D34:BA34"/>
    <mergeCell ref="BB34:CA34"/>
    <mergeCell ref="CB34:DA34"/>
    <mergeCell ref="B32:BA32"/>
    <mergeCell ref="BB32:CA32"/>
    <mergeCell ref="CB32:DA32"/>
    <mergeCell ref="A33:C33"/>
    <mergeCell ref="D33:BA33"/>
    <mergeCell ref="BB33:CA33"/>
    <mergeCell ref="A36:E36"/>
    <mergeCell ref="F36:BA36"/>
    <mergeCell ref="BB36:CA36"/>
    <mergeCell ref="CB36:DA36"/>
    <mergeCell ref="A35:E35"/>
    <mergeCell ref="F35:BA35"/>
    <mergeCell ref="BB35:CA35"/>
    <mergeCell ref="CB35:DA35"/>
    <mergeCell ref="B38:BA38"/>
    <mergeCell ref="BB38:CA38"/>
    <mergeCell ref="CB38:DA38"/>
    <mergeCell ref="A39:DA39"/>
    <mergeCell ref="A37:E37"/>
    <mergeCell ref="F37:BA37"/>
    <mergeCell ref="BB37:CA37"/>
    <mergeCell ref="CB37:DA37"/>
    <mergeCell ref="B48:BA48"/>
    <mergeCell ref="B40:BA40"/>
    <mergeCell ref="BB40:CA40"/>
    <mergeCell ref="CB40:DA43"/>
    <mergeCell ref="B41:BA41"/>
    <mergeCell ref="BB41:CA41"/>
    <mergeCell ref="B42:BA42"/>
    <mergeCell ref="BB42:CA42"/>
    <mergeCell ref="B43:BA43"/>
    <mergeCell ref="BB43:CA43"/>
    <mergeCell ref="C49:D49"/>
    <mergeCell ref="A53:BD53"/>
    <mergeCell ref="BN53:CJ53"/>
    <mergeCell ref="A44:DA44"/>
    <mergeCell ref="B45:BA45"/>
    <mergeCell ref="BB45:DA48"/>
    <mergeCell ref="A46:C46"/>
    <mergeCell ref="D46:BA46"/>
    <mergeCell ref="A47:C47"/>
    <mergeCell ref="D47:BA47"/>
  </mergeCells>
  <printOptions horizontalCentered="1"/>
  <pageMargins left="0.7875" right="0.5118055555555555" top="0.5902777777777778" bottom="0.39375" header="0.19652777777777777" footer="0.5118055555555555"/>
  <pageSetup horizontalDpi="300" verticalDpi="300" orientation="portrait" paperSize="9" scale="86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DI17" sqref="DI17"/>
    </sheetView>
  </sheetViews>
  <sheetFormatPr defaultColWidth="0.875" defaultRowHeight="12.75"/>
  <cols>
    <col min="1" max="19" width="0.875" style="179" customWidth="1"/>
    <col min="20" max="20" width="8.625" style="179" customWidth="1"/>
    <col min="21" max="28" width="0.875" style="179" customWidth="1"/>
    <col min="29" max="29" width="1.25" style="179" customWidth="1"/>
    <col min="30" max="39" width="0.875" style="179" customWidth="1"/>
    <col min="40" max="40" width="1.625" style="179" customWidth="1"/>
    <col min="41" max="47" width="0.875" style="179" customWidth="1"/>
    <col min="48" max="48" width="3.00390625" style="179" customWidth="1"/>
    <col min="49" max="87" width="0.875" style="179" customWidth="1"/>
    <col min="88" max="88" width="2.125" style="179" customWidth="1"/>
    <col min="89" max="89" width="1.875" style="179" customWidth="1"/>
    <col min="90" max="107" width="0.875" style="179" customWidth="1"/>
    <col min="108" max="108" width="2.125" style="179" customWidth="1"/>
    <col min="109" max="112" width="0.875" style="179" customWidth="1"/>
    <col min="113" max="113" width="20.875" style="179" customWidth="1"/>
    <col min="114" max="16384" width="0.875" style="179" customWidth="1"/>
  </cols>
  <sheetData>
    <row r="1" ht="11.25">
      <c r="DD1" s="180" t="s">
        <v>473</v>
      </c>
    </row>
    <row r="2" ht="11.25">
      <c r="DD2" s="180" t="s">
        <v>1</v>
      </c>
    </row>
    <row r="3" spans="43:108" ht="11.25"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DD3" s="180" t="s">
        <v>2</v>
      </c>
    </row>
    <row r="4" spans="43:92" s="182" customFormat="1" ht="15.75"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4"/>
    </row>
    <row r="5" spans="1:108" s="187" customFormat="1" ht="30.75" customHeight="1">
      <c r="A5" s="342" t="s">
        <v>492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</row>
    <row r="6" spans="1:92" s="187" customFormat="1" ht="15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</row>
    <row r="7" spans="1:108" s="187" customFormat="1" ht="12.75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BA7" s="186"/>
      <c r="BB7" s="186"/>
      <c r="BC7" s="186"/>
      <c r="BD7" s="186"/>
      <c r="BE7" s="186"/>
      <c r="BF7" s="186"/>
      <c r="BG7" s="186"/>
      <c r="BH7" s="186"/>
      <c r="BI7" s="186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9" t="s">
        <v>445</v>
      </c>
    </row>
    <row r="8" spans="1:108" s="187" customFormat="1" ht="12.75" customHeight="1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BA8" s="186"/>
      <c r="BB8" s="186"/>
      <c r="BC8" s="186"/>
      <c r="BD8" s="186"/>
      <c r="BE8" s="186"/>
      <c r="BF8" s="186"/>
      <c r="BG8" s="186"/>
      <c r="BH8" s="186"/>
      <c r="BI8" s="186"/>
      <c r="BZ8" s="188"/>
      <c r="CA8" s="188"/>
      <c r="CB8" s="188"/>
      <c r="CC8" s="188"/>
      <c r="CD8" s="188"/>
      <c r="CE8" s="188"/>
      <c r="CF8" s="188"/>
      <c r="CG8" s="347" t="s">
        <v>493</v>
      </c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</row>
    <row r="9" spans="1:108" s="187" customFormat="1" ht="12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BA9" s="186"/>
      <c r="BB9" s="186"/>
      <c r="BC9" s="186"/>
      <c r="BD9" s="186"/>
      <c r="BE9" s="186"/>
      <c r="BF9" s="186"/>
      <c r="BG9" s="186"/>
      <c r="BH9" s="186"/>
      <c r="BI9" s="186"/>
      <c r="BZ9" s="188"/>
      <c r="CA9" s="188"/>
      <c r="CB9" s="188"/>
      <c r="CC9" s="188"/>
      <c r="CD9" s="188"/>
      <c r="CE9" s="188"/>
      <c r="CF9" s="18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</row>
    <row r="10" spans="1:108" s="187" customFormat="1" ht="12.75" customHeight="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BA10" s="186"/>
      <c r="BB10" s="186"/>
      <c r="BC10" s="186"/>
      <c r="BD10" s="186"/>
      <c r="BE10" s="186"/>
      <c r="BF10" s="186"/>
      <c r="BG10" s="186"/>
      <c r="BH10" s="186"/>
      <c r="BI10" s="186"/>
      <c r="BZ10" s="188"/>
      <c r="CA10" s="188"/>
      <c r="CB10" s="188"/>
      <c r="CC10" s="188"/>
      <c r="CD10" s="188"/>
      <c r="CE10" s="188"/>
      <c r="CF10" s="18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8"/>
      <c r="DD10" s="348"/>
    </row>
    <row r="11" spans="1:108" s="190" customFormat="1" ht="12.7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BZ11" s="191"/>
      <c r="CA11" s="191"/>
      <c r="CB11" s="191"/>
      <c r="CC11" s="191"/>
      <c r="CD11" s="191"/>
      <c r="CE11" s="191"/>
      <c r="CF11" s="191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</row>
    <row r="12" spans="79:108" s="191" customFormat="1" ht="12.75"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</row>
    <row r="13" spans="78:108" s="191" customFormat="1" ht="12.75">
      <c r="BZ13" s="179"/>
      <c r="CA13" s="343" t="s">
        <v>4</v>
      </c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</row>
    <row r="14" spans="78:108" ht="12" customHeight="1">
      <c r="BZ14" s="344" t="s">
        <v>281</v>
      </c>
      <c r="CA14" s="344"/>
      <c r="CB14" s="345" t="s">
        <v>282</v>
      </c>
      <c r="CC14" s="345"/>
      <c r="CD14" s="345"/>
      <c r="CE14" s="346" t="s">
        <v>281</v>
      </c>
      <c r="CF14" s="346"/>
      <c r="CG14" s="191"/>
      <c r="CH14" s="345" t="s">
        <v>283</v>
      </c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191"/>
      <c r="CT14" s="344">
        <v>20</v>
      </c>
      <c r="CU14" s="344"/>
      <c r="CV14" s="344"/>
      <c r="CW14" s="344">
        <v>17</v>
      </c>
      <c r="CX14" s="344"/>
      <c r="CY14" s="344"/>
      <c r="CZ14" s="192" t="s">
        <v>449</v>
      </c>
      <c r="DA14" s="191"/>
      <c r="DB14" s="191"/>
      <c r="DC14" s="191"/>
      <c r="DD14" s="192"/>
    </row>
    <row r="15" s="191" customFormat="1" ht="12.75">
      <c r="DD15" s="189" t="s">
        <v>8</v>
      </c>
    </row>
    <row r="16" s="191" customFormat="1" ht="12.75"/>
    <row r="17" spans="1:108" s="203" customFormat="1" ht="23.25" customHeight="1">
      <c r="A17" s="340" t="s">
        <v>359</v>
      </c>
      <c r="B17" s="341"/>
      <c r="C17" s="341"/>
      <c r="D17" s="341"/>
      <c r="E17" s="340" t="s">
        <v>476</v>
      </c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 t="s">
        <v>477</v>
      </c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 t="s">
        <v>478</v>
      </c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 t="s">
        <v>479</v>
      </c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</row>
    <row r="18" spans="1:108" s="203" customFormat="1" ht="88.5" customHeight="1">
      <c r="A18" s="341"/>
      <c r="B18" s="341"/>
      <c r="C18" s="341"/>
      <c r="D18" s="341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 t="s">
        <v>480</v>
      </c>
      <c r="V18" s="341"/>
      <c r="W18" s="341"/>
      <c r="X18" s="341"/>
      <c r="Y18" s="341"/>
      <c r="Z18" s="341"/>
      <c r="AA18" s="341"/>
      <c r="AB18" s="341"/>
      <c r="AC18" s="341"/>
      <c r="AD18" s="341"/>
      <c r="AE18" s="340" t="s">
        <v>481</v>
      </c>
      <c r="AF18" s="341"/>
      <c r="AG18" s="341"/>
      <c r="AH18" s="341"/>
      <c r="AI18" s="341"/>
      <c r="AJ18" s="341"/>
      <c r="AK18" s="341"/>
      <c r="AL18" s="341"/>
      <c r="AM18" s="341"/>
      <c r="AN18" s="341"/>
      <c r="AO18" s="340" t="s">
        <v>482</v>
      </c>
      <c r="AP18" s="341"/>
      <c r="AQ18" s="341"/>
      <c r="AR18" s="341"/>
      <c r="AS18" s="341"/>
      <c r="AT18" s="341"/>
      <c r="AU18" s="341"/>
      <c r="AV18" s="341"/>
      <c r="AW18" s="340" t="s">
        <v>483</v>
      </c>
      <c r="AX18" s="341"/>
      <c r="AY18" s="341"/>
      <c r="AZ18" s="341"/>
      <c r="BA18" s="341"/>
      <c r="BB18" s="341"/>
      <c r="BC18" s="341"/>
      <c r="BD18" s="341"/>
      <c r="BE18" s="341"/>
      <c r="BF18" s="341"/>
      <c r="BG18" s="340" t="s">
        <v>234</v>
      </c>
      <c r="BH18" s="341"/>
      <c r="BI18" s="341"/>
      <c r="BJ18" s="341"/>
      <c r="BK18" s="341"/>
      <c r="BL18" s="341"/>
      <c r="BM18" s="341"/>
      <c r="BN18" s="341"/>
      <c r="BO18" s="341"/>
      <c r="BP18" s="341"/>
      <c r="BQ18" s="340" t="s">
        <v>484</v>
      </c>
      <c r="BR18" s="341"/>
      <c r="BS18" s="341"/>
      <c r="BT18" s="341"/>
      <c r="BU18" s="341"/>
      <c r="BV18" s="341"/>
      <c r="BW18" s="341"/>
      <c r="BX18" s="341"/>
      <c r="BY18" s="341"/>
      <c r="BZ18" s="341"/>
      <c r="CA18" s="340" t="s">
        <v>485</v>
      </c>
      <c r="CB18" s="341"/>
      <c r="CC18" s="341"/>
      <c r="CD18" s="341"/>
      <c r="CE18" s="341"/>
      <c r="CF18" s="341"/>
      <c r="CG18" s="341"/>
      <c r="CH18" s="341"/>
      <c r="CI18" s="341"/>
      <c r="CJ18" s="341"/>
      <c r="CK18" s="340" t="s">
        <v>486</v>
      </c>
      <c r="CL18" s="341"/>
      <c r="CM18" s="341"/>
      <c r="CN18" s="341"/>
      <c r="CO18" s="341"/>
      <c r="CP18" s="341"/>
      <c r="CQ18" s="341"/>
      <c r="CR18" s="341"/>
      <c r="CS18" s="341"/>
      <c r="CT18" s="341"/>
      <c r="CU18" s="340" t="s">
        <v>487</v>
      </c>
      <c r="CV18" s="341"/>
      <c r="CW18" s="341"/>
      <c r="CX18" s="341"/>
      <c r="CY18" s="341"/>
      <c r="CZ18" s="341"/>
      <c r="DA18" s="341"/>
      <c r="DB18" s="341"/>
      <c r="DC18" s="341"/>
      <c r="DD18" s="341"/>
    </row>
    <row r="19" spans="1:108" s="206" customFormat="1" ht="69.75" customHeight="1">
      <c r="A19" s="339">
        <v>1</v>
      </c>
      <c r="B19" s="339"/>
      <c r="C19" s="339"/>
      <c r="D19" s="339"/>
      <c r="E19" s="338" t="s">
        <v>204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 t="s">
        <v>488</v>
      </c>
      <c r="V19" s="338"/>
      <c r="W19" s="338"/>
      <c r="X19" s="338"/>
      <c r="Y19" s="338"/>
      <c r="Z19" s="338"/>
      <c r="AA19" s="338"/>
      <c r="AB19" s="338"/>
      <c r="AC19" s="338"/>
      <c r="AD19" s="338"/>
      <c r="AE19" s="338">
        <v>0</v>
      </c>
      <c r="AF19" s="338"/>
      <c r="AG19" s="338"/>
      <c r="AH19" s="338"/>
      <c r="AI19" s="338"/>
      <c r="AJ19" s="338"/>
      <c r="AK19" s="338"/>
      <c r="AL19" s="338"/>
      <c r="AM19" s="338"/>
      <c r="AN19" s="338"/>
      <c r="AO19" s="338" t="s">
        <v>245</v>
      </c>
      <c r="AP19" s="338"/>
      <c r="AQ19" s="338"/>
      <c r="AR19" s="338"/>
      <c r="AS19" s="338"/>
      <c r="AT19" s="338"/>
      <c r="AU19" s="338"/>
      <c r="AV19" s="338"/>
      <c r="AW19" s="338">
        <v>2016</v>
      </c>
      <c r="AX19" s="338"/>
      <c r="AY19" s="338"/>
      <c r="AZ19" s="338"/>
      <c r="BA19" s="338"/>
      <c r="BB19" s="338"/>
      <c r="BC19" s="338"/>
      <c r="BD19" s="338"/>
      <c r="BE19" s="338"/>
      <c r="BF19" s="338"/>
      <c r="BG19" s="338">
        <v>2016</v>
      </c>
      <c r="BH19" s="338"/>
      <c r="BI19" s="338"/>
      <c r="BJ19" s="338"/>
      <c r="BK19" s="338"/>
      <c r="BL19" s="338"/>
      <c r="BM19" s="338"/>
      <c r="BN19" s="338"/>
      <c r="BO19" s="338"/>
      <c r="BP19" s="338"/>
      <c r="BQ19" s="338" t="s">
        <v>494</v>
      </c>
      <c r="BR19" s="338"/>
      <c r="BS19" s="338"/>
      <c r="BT19" s="338"/>
      <c r="BU19" s="338"/>
      <c r="BV19" s="338"/>
      <c r="BW19" s="338"/>
      <c r="BX19" s="338"/>
      <c r="BY19" s="338"/>
      <c r="BZ19" s="338"/>
      <c r="CA19" s="338" t="s">
        <v>495</v>
      </c>
      <c r="CB19" s="338"/>
      <c r="CC19" s="338"/>
      <c r="CD19" s="338"/>
      <c r="CE19" s="338"/>
      <c r="CF19" s="338"/>
      <c r="CG19" s="338"/>
      <c r="CH19" s="338"/>
      <c r="CI19" s="338"/>
      <c r="CJ19" s="338"/>
      <c r="CK19" s="338" t="s">
        <v>494</v>
      </c>
      <c r="CL19" s="338"/>
      <c r="CM19" s="338"/>
      <c r="CN19" s="338"/>
      <c r="CO19" s="338"/>
      <c r="CP19" s="338"/>
      <c r="CQ19" s="338"/>
      <c r="CR19" s="338"/>
      <c r="CS19" s="338"/>
      <c r="CT19" s="338"/>
      <c r="CU19" s="338" t="s">
        <v>494</v>
      </c>
      <c r="CV19" s="338"/>
      <c r="CW19" s="338"/>
      <c r="CX19" s="338"/>
      <c r="CY19" s="338"/>
      <c r="CZ19" s="338"/>
      <c r="DA19" s="338"/>
      <c r="DB19" s="338"/>
      <c r="DC19" s="338"/>
      <c r="DD19" s="338"/>
    </row>
    <row r="20" spans="1:108" s="205" customFormat="1" ht="60.75" customHeight="1">
      <c r="A20" s="339">
        <v>2</v>
      </c>
      <c r="B20" s="339"/>
      <c r="C20" s="339"/>
      <c r="D20" s="339"/>
      <c r="E20" s="338" t="s">
        <v>206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>
        <v>0</v>
      </c>
      <c r="V20" s="338"/>
      <c r="W20" s="338"/>
      <c r="X20" s="338"/>
      <c r="Y20" s="338"/>
      <c r="Z20" s="338"/>
      <c r="AA20" s="338"/>
      <c r="AB20" s="338"/>
      <c r="AC20" s="338"/>
      <c r="AD20" s="338"/>
      <c r="AE20" s="338">
        <v>0</v>
      </c>
      <c r="AF20" s="338"/>
      <c r="AG20" s="338"/>
      <c r="AH20" s="338"/>
      <c r="AI20" s="338"/>
      <c r="AJ20" s="338"/>
      <c r="AK20" s="338"/>
      <c r="AL20" s="338"/>
      <c r="AM20" s="338"/>
      <c r="AN20" s="338"/>
      <c r="AO20" s="338" t="s">
        <v>491</v>
      </c>
      <c r="AP20" s="338"/>
      <c r="AQ20" s="338"/>
      <c r="AR20" s="338"/>
      <c r="AS20" s="338"/>
      <c r="AT20" s="338"/>
      <c r="AU20" s="338"/>
      <c r="AV20" s="338"/>
      <c r="AW20" s="338">
        <v>2016</v>
      </c>
      <c r="AX20" s="338"/>
      <c r="AY20" s="338"/>
      <c r="AZ20" s="338"/>
      <c r="BA20" s="338"/>
      <c r="BB20" s="338"/>
      <c r="BC20" s="338"/>
      <c r="BD20" s="338"/>
      <c r="BE20" s="338"/>
      <c r="BF20" s="338"/>
      <c r="BG20" s="338">
        <v>2016</v>
      </c>
      <c r="BH20" s="338"/>
      <c r="BI20" s="338"/>
      <c r="BJ20" s="338"/>
      <c r="BK20" s="338"/>
      <c r="BL20" s="338"/>
      <c r="BM20" s="338"/>
      <c r="BN20" s="338"/>
      <c r="BO20" s="338"/>
      <c r="BP20" s="338"/>
      <c r="BQ20" s="338" t="s">
        <v>494</v>
      </c>
      <c r="BR20" s="338"/>
      <c r="BS20" s="338"/>
      <c r="BT20" s="338"/>
      <c r="BU20" s="338"/>
      <c r="BV20" s="338"/>
      <c r="BW20" s="338"/>
      <c r="BX20" s="338"/>
      <c r="BY20" s="338"/>
      <c r="BZ20" s="338"/>
      <c r="CA20" s="338" t="s">
        <v>495</v>
      </c>
      <c r="CB20" s="338"/>
      <c r="CC20" s="338"/>
      <c r="CD20" s="338"/>
      <c r="CE20" s="338"/>
      <c r="CF20" s="338"/>
      <c r="CG20" s="338"/>
      <c r="CH20" s="338"/>
      <c r="CI20" s="338"/>
      <c r="CJ20" s="338"/>
      <c r="CK20" s="338" t="s">
        <v>494</v>
      </c>
      <c r="CL20" s="338"/>
      <c r="CM20" s="338"/>
      <c r="CN20" s="338"/>
      <c r="CO20" s="338"/>
      <c r="CP20" s="338"/>
      <c r="CQ20" s="338"/>
      <c r="CR20" s="338"/>
      <c r="CS20" s="338"/>
      <c r="CT20" s="338"/>
      <c r="CU20" s="338" t="s">
        <v>494</v>
      </c>
      <c r="CV20" s="338"/>
      <c r="CW20" s="338"/>
      <c r="CX20" s="338"/>
      <c r="CY20" s="338"/>
      <c r="CZ20" s="338"/>
      <c r="DA20" s="338"/>
      <c r="DB20" s="338"/>
      <c r="DC20" s="338"/>
      <c r="DD20" s="338"/>
    </row>
    <row r="21" spans="1:108" s="207" customFormat="1" ht="11.25">
      <c r="A21" s="333"/>
      <c r="B21" s="333"/>
      <c r="C21" s="333"/>
      <c r="D21" s="333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</row>
    <row r="22" spans="1:108" s="207" customFormat="1" ht="11.25">
      <c r="A22" s="333"/>
      <c r="B22" s="333"/>
      <c r="C22" s="333"/>
      <c r="D22" s="333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</row>
    <row r="23" spans="1:108" s="207" customFormat="1" ht="12.75">
      <c r="A23" s="333"/>
      <c r="B23" s="333"/>
      <c r="C23" s="333"/>
      <c r="D23" s="333"/>
      <c r="E23" s="334" t="s">
        <v>276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6" t="s">
        <v>216</v>
      </c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</row>
  </sheetData>
  <sheetProtection/>
  <mergeCells count="75">
    <mergeCell ref="CH14:CR14"/>
    <mergeCell ref="CT14:CV14"/>
    <mergeCell ref="CW14:CY14"/>
    <mergeCell ref="CG8:DD11"/>
    <mergeCell ref="U18:AD18"/>
    <mergeCell ref="AE18:AN18"/>
    <mergeCell ref="AO18:AV18"/>
    <mergeCell ref="AW18:BF18"/>
    <mergeCell ref="A5:DD5"/>
    <mergeCell ref="CA12:DD12"/>
    <mergeCell ref="CA13:DD13"/>
    <mergeCell ref="BZ14:CA14"/>
    <mergeCell ref="CB14:CD14"/>
    <mergeCell ref="CE14:CF14"/>
    <mergeCell ref="BQ18:BZ18"/>
    <mergeCell ref="CA18:CJ18"/>
    <mergeCell ref="CK18:CT18"/>
    <mergeCell ref="BG18:BP18"/>
    <mergeCell ref="CU18:DD18"/>
    <mergeCell ref="A17:D18"/>
    <mergeCell ref="E17:T18"/>
    <mergeCell ref="U17:AV17"/>
    <mergeCell ref="AW17:BP17"/>
    <mergeCell ref="BQ17:DD17"/>
    <mergeCell ref="A19:D19"/>
    <mergeCell ref="E19:T19"/>
    <mergeCell ref="U19:AD19"/>
    <mergeCell ref="AE19:AN19"/>
    <mergeCell ref="AO19:AV19"/>
    <mergeCell ref="A20:D20"/>
    <mergeCell ref="E20:T20"/>
    <mergeCell ref="U20:AD20"/>
    <mergeCell ref="AE20:AN20"/>
    <mergeCell ref="BG19:BP19"/>
    <mergeCell ref="BQ19:BZ19"/>
    <mergeCell ref="CA19:CJ19"/>
    <mergeCell ref="CK19:CT19"/>
    <mergeCell ref="CU19:DD19"/>
    <mergeCell ref="AO20:AV20"/>
    <mergeCell ref="AW19:BF19"/>
    <mergeCell ref="AW20:BF20"/>
    <mergeCell ref="BG20:BP20"/>
    <mergeCell ref="BQ20:BZ20"/>
    <mergeCell ref="CA20:CJ20"/>
    <mergeCell ref="CK20:CT20"/>
    <mergeCell ref="CU20:DD20"/>
    <mergeCell ref="A21:D21"/>
    <mergeCell ref="E21:T21"/>
    <mergeCell ref="U21:AD21"/>
    <mergeCell ref="AE21:AN21"/>
    <mergeCell ref="AO21:AV21"/>
    <mergeCell ref="A22:D22"/>
    <mergeCell ref="E22:T22"/>
    <mergeCell ref="U22:AD22"/>
    <mergeCell ref="AE22:AN22"/>
    <mergeCell ref="BG21:BP21"/>
    <mergeCell ref="BQ21:BZ21"/>
    <mergeCell ref="CA21:CJ21"/>
    <mergeCell ref="CK21:CT21"/>
    <mergeCell ref="CU21:DD21"/>
    <mergeCell ref="AO22:AV22"/>
    <mergeCell ref="AW21:BF21"/>
    <mergeCell ref="AW22:BF22"/>
    <mergeCell ref="BG22:BP22"/>
    <mergeCell ref="BQ22:BZ22"/>
    <mergeCell ref="CA22:CJ22"/>
    <mergeCell ref="CK22:CT22"/>
    <mergeCell ref="CU22:DD22"/>
    <mergeCell ref="CU23:DD23"/>
    <mergeCell ref="A23:D23"/>
    <mergeCell ref="E23:T23"/>
    <mergeCell ref="U23:AV23"/>
    <mergeCell ref="AW23:BZ23"/>
    <mergeCell ref="CA23:CJ23"/>
    <mergeCell ref="CK23:CT2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6"/>
  <sheetViews>
    <sheetView view="pageBreakPreview" zoomScale="85" zoomScaleNormal="60" zoomScaleSheetLayoutView="85" zoomScalePageLayoutView="0" workbookViewId="0" topLeftCell="B94">
      <selection activeCell="N15" sqref="N15"/>
    </sheetView>
  </sheetViews>
  <sheetFormatPr defaultColWidth="13.125" defaultRowHeight="12.75" outlineLevelCol="1"/>
  <cols>
    <col min="1" max="1" width="7.375" style="1" customWidth="1" outlineLevel="1"/>
    <col min="2" max="2" width="52.00390625" style="2" customWidth="1"/>
    <col min="3" max="3" width="15.00390625" style="3" customWidth="1" outlineLevel="1"/>
    <col min="4" max="4" width="13.75390625" style="3" customWidth="1"/>
    <col min="5" max="5" width="13.875" style="3" customWidth="1"/>
    <col min="6" max="6" width="11.875" style="3" customWidth="1"/>
    <col min="7" max="7" width="14.25390625" style="3" customWidth="1"/>
    <col min="8" max="8" width="17.25390625" style="3" customWidth="1" outlineLevel="1"/>
    <col min="9" max="10" width="11.125" style="1" customWidth="1" outlineLevel="1"/>
    <col min="11" max="11" width="14.375" style="1" customWidth="1" outlineLevel="1"/>
    <col min="12" max="12" width="13.125" style="1" customWidth="1" outlineLevel="1"/>
    <col min="13" max="13" width="26.375" style="1" customWidth="1" outlineLevel="1"/>
    <col min="14" max="16384" width="13.125" style="3" customWidth="1"/>
  </cols>
  <sheetData>
    <row r="1" spans="11:13" ht="12.75" customHeight="1">
      <c r="K1" s="219"/>
      <c r="L1" s="219"/>
      <c r="M1" s="5" t="s">
        <v>0</v>
      </c>
    </row>
    <row r="2" ht="15">
      <c r="M2" s="1" t="s">
        <v>1</v>
      </c>
    </row>
    <row r="3" ht="15">
      <c r="M3" s="5" t="s">
        <v>2</v>
      </c>
    </row>
    <row r="5" spans="10:36" ht="66" customHeight="1">
      <c r="J5" s="349" t="s">
        <v>3</v>
      </c>
      <c r="K5" s="349"/>
      <c r="L5" s="349"/>
      <c r="M5" s="34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0:36" ht="16.5">
      <c r="J6" s="173"/>
      <c r="K6" s="173"/>
      <c r="L6" s="173"/>
      <c r="M6" s="17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8:13" ht="15">
      <c r="H7" s="21"/>
      <c r="M7" s="8"/>
    </row>
    <row r="8" ht="15">
      <c r="M8" s="9" t="s">
        <v>4</v>
      </c>
    </row>
    <row r="9" spans="13:41" ht="15">
      <c r="M9" s="10" t="s">
        <v>439</v>
      </c>
      <c r="N9" s="11"/>
      <c r="O9" s="221"/>
      <c r="P9" s="221"/>
      <c r="Q9" s="221"/>
      <c r="R9" s="222"/>
      <c r="S9" s="222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3">
        <v>20</v>
      </c>
      <c r="AF9" s="223"/>
      <c r="AG9" s="223"/>
      <c r="AH9" s="217"/>
      <c r="AI9" s="217"/>
      <c r="AJ9" s="217"/>
      <c r="AK9" s="12"/>
      <c r="AL9" s="13" t="s">
        <v>6</v>
      </c>
      <c r="AM9" s="12"/>
      <c r="AN9" s="12"/>
      <c r="AO9" s="13"/>
    </row>
    <row r="10" spans="9:41" ht="15">
      <c r="I10" s="14"/>
      <c r="M10" s="15" t="s">
        <v>7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5" t="s">
        <v>8</v>
      </c>
    </row>
    <row r="11" spans="1:13" ht="18" customHeight="1">
      <c r="A11" s="218" t="s">
        <v>440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1:13" ht="18" customHeight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66" customHeight="1">
      <c r="A13" s="215" t="s">
        <v>10</v>
      </c>
      <c r="B13" s="216" t="s">
        <v>11</v>
      </c>
      <c r="C13" s="214" t="s">
        <v>12</v>
      </c>
      <c r="D13" s="214" t="s">
        <v>441</v>
      </c>
      <c r="E13" s="214"/>
      <c r="F13" s="214" t="s">
        <v>14</v>
      </c>
      <c r="G13" s="214" t="s">
        <v>15</v>
      </c>
      <c r="H13" s="214" t="s">
        <v>16</v>
      </c>
      <c r="I13" s="213" t="s">
        <v>17</v>
      </c>
      <c r="J13" s="213"/>
      <c r="K13" s="213"/>
      <c r="L13" s="213"/>
      <c r="M13" s="213" t="s">
        <v>18</v>
      </c>
    </row>
    <row r="14" spans="1:13" ht="46.5" customHeight="1">
      <c r="A14" s="215"/>
      <c r="B14" s="216"/>
      <c r="C14" s="214"/>
      <c r="D14" s="214" t="s">
        <v>19</v>
      </c>
      <c r="E14" s="214"/>
      <c r="F14" s="214"/>
      <c r="G14" s="214"/>
      <c r="H14" s="214"/>
      <c r="I14" s="213" t="s">
        <v>24</v>
      </c>
      <c r="J14" s="213" t="s">
        <v>25</v>
      </c>
      <c r="K14" s="213" t="s">
        <v>26</v>
      </c>
      <c r="L14" s="213"/>
      <c r="M14" s="213"/>
    </row>
    <row r="15" spans="1:14" ht="63.75">
      <c r="A15" s="215"/>
      <c r="B15" s="216"/>
      <c r="C15" s="214"/>
      <c r="D15" s="19" t="s">
        <v>27</v>
      </c>
      <c r="E15" s="19" t="s">
        <v>28</v>
      </c>
      <c r="F15" s="19" t="s">
        <v>19</v>
      </c>
      <c r="G15" s="19" t="s">
        <v>19</v>
      </c>
      <c r="H15" s="214"/>
      <c r="I15" s="213"/>
      <c r="J15" s="213"/>
      <c r="K15" s="20" t="s">
        <v>32</v>
      </c>
      <c r="L15" s="20" t="s">
        <v>33</v>
      </c>
      <c r="M15" s="213"/>
      <c r="N15" s="21"/>
    </row>
    <row r="16" spans="1:15" s="21" customFormat="1" ht="14.25">
      <c r="A16" s="22"/>
      <c r="B16" s="23" t="s">
        <v>34</v>
      </c>
      <c r="C16" s="24">
        <v>0</v>
      </c>
      <c r="D16" s="24">
        <f aca="true" t="shared" si="0" ref="D16:I16">D17+D94+D103</f>
        <v>19.92796508</v>
      </c>
      <c r="E16" s="24">
        <f t="shared" si="0"/>
        <v>20.642909226599997</v>
      </c>
      <c r="F16" s="24">
        <f t="shared" si="0"/>
        <v>20.642909226599997</v>
      </c>
      <c r="G16" s="24">
        <f t="shared" si="0"/>
        <v>20.642909226599997</v>
      </c>
      <c r="H16" s="24">
        <f t="shared" si="0"/>
        <v>-0.7149441465999966</v>
      </c>
      <c r="I16" s="24">
        <f t="shared" si="0"/>
        <v>0.7149441465999957</v>
      </c>
      <c r="J16" s="25">
        <f aca="true" t="shared" si="1" ref="J16:J47">(E16-D16)/D16*100</f>
        <v>3.587642510060024</v>
      </c>
      <c r="K16" s="24">
        <f>K17+K94+K103</f>
        <v>0.7149441465999957</v>
      </c>
      <c r="L16" s="26"/>
      <c r="M16" s="27"/>
      <c r="N16" s="28">
        <f>D16-E16</f>
        <v>-0.714944146599997</v>
      </c>
      <c r="O16" s="29"/>
    </row>
    <row r="17" spans="1:14" ht="34.5" customHeight="1">
      <c r="A17" s="20">
        <v>1</v>
      </c>
      <c r="B17" s="30" t="s">
        <v>35</v>
      </c>
      <c r="C17" s="31">
        <v>0</v>
      </c>
      <c r="D17" s="24">
        <f>D18</f>
        <v>16.665777407686402</v>
      </c>
      <c r="E17" s="24">
        <f>E18</f>
        <v>14.104477719599998</v>
      </c>
      <c r="F17" s="24">
        <f>F18</f>
        <v>14.104477719599998</v>
      </c>
      <c r="G17" s="24">
        <f>F17</f>
        <v>14.104477719599998</v>
      </c>
      <c r="H17" s="24">
        <f>H18</f>
        <v>2.561299688086403</v>
      </c>
      <c r="I17" s="22">
        <f>E17-D17</f>
        <v>-2.561299688086404</v>
      </c>
      <c r="J17" s="25">
        <f t="shared" si="1"/>
        <v>-15.368618129419573</v>
      </c>
      <c r="K17" s="22">
        <f>I17</f>
        <v>-2.561299688086404</v>
      </c>
      <c r="L17" s="22"/>
      <c r="M17" s="20"/>
      <c r="N17" s="32">
        <f>D16-E16</f>
        <v>-0.714944146599997</v>
      </c>
    </row>
    <row r="18" spans="1:13" ht="37.5" customHeight="1">
      <c r="A18" s="33" t="s">
        <v>36</v>
      </c>
      <c r="B18" s="30" t="s">
        <v>37</v>
      </c>
      <c r="C18" s="24">
        <f>SUM(C19:C86)</f>
        <v>0</v>
      </c>
      <c r="D18" s="24">
        <f>SUM(D19:D93)</f>
        <v>16.665777407686402</v>
      </c>
      <c r="E18" s="24">
        <f>SUM(E19:E93)</f>
        <v>14.104477719599998</v>
      </c>
      <c r="F18" s="24">
        <f>SUM(F19:F93)</f>
        <v>14.104477719599998</v>
      </c>
      <c r="G18" s="24">
        <f>SUM(G19:G93)</f>
        <v>14.104477719599998</v>
      </c>
      <c r="H18" s="24">
        <f>SUM(H19:H93)</f>
        <v>2.561299688086403</v>
      </c>
      <c r="I18" s="24">
        <f>SUM(I19:I86)</f>
        <v>-7.023204058286402</v>
      </c>
      <c r="J18" s="25">
        <f t="shared" si="1"/>
        <v>-15.368618129419573</v>
      </c>
      <c r="K18" s="24">
        <f>SUM(K19:K93)</f>
        <v>-2.561299688086403</v>
      </c>
      <c r="L18" s="22"/>
      <c r="M18" s="20"/>
    </row>
    <row r="19" spans="1:13" ht="46.5" customHeight="1">
      <c r="A19" s="34" t="s">
        <v>38</v>
      </c>
      <c r="B19" s="35" t="s">
        <v>39</v>
      </c>
      <c r="C19" s="31">
        <v>0</v>
      </c>
      <c r="D19" s="31">
        <v>0.2379883</v>
      </c>
      <c r="E19" s="31">
        <v>0</v>
      </c>
      <c r="F19" s="31">
        <f aca="true" t="shared" si="2" ref="F19:G38">E19</f>
        <v>0</v>
      </c>
      <c r="G19" s="26">
        <f t="shared" si="2"/>
        <v>0</v>
      </c>
      <c r="H19" s="26">
        <f aca="true" t="shared" si="3" ref="H19:H50">D19-E19</f>
        <v>0.2379883</v>
      </c>
      <c r="I19" s="31">
        <f aca="true" t="shared" si="4" ref="I19:I50">E19-D19</f>
        <v>-0.2379883</v>
      </c>
      <c r="J19" s="37">
        <f t="shared" si="1"/>
        <v>-100</v>
      </c>
      <c r="K19" s="31">
        <f aca="true" t="shared" si="5" ref="K19:K50">I19</f>
        <v>-0.2379883</v>
      </c>
      <c r="L19" s="22"/>
      <c r="M19" s="27"/>
    </row>
    <row r="20" spans="1:13" ht="37.5" customHeight="1">
      <c r="A20" s="34" t="s">
        <v>40</v>
      </c>
      <c r="B20" s="35" t="s">
        <v>41</v>
      </c>
      <c r="C20" s="31">
        <v>0</v>
      </c>
      <c r="D20" s="31">
        <v>0.2379883</v>
      </c>
      <c r="E20" s="31">
        <v>0</v>
      </c>
      <c r="F20" s="31">
        <f t="shared" si="2"/>
        <v>0</v>
      </c>
      <c r="G20" s="26">
        <f t="shared" si="2"/>
        <v>0</v>
      </c>
      <c r="H20" s="26">
        <f t="shared" si="3"/>
        <v>0.2379883</v>
      </c>
      <c r="I20" s="31">
        <f t="shared" si="4"/>
        <v>-0.2379883</v>
      </c>
      <c r="J20" s="37">
        <f t="shared" si="1"/>
        <v>-100</v>
      </c>
      <c r="K20" s="31">
        <f t="shared" si="5"/>
        <v>-0.2379883</v>
      </c>
      <c r="L20" s="22"/>
      <c r="M20" s="27"/>
    </row>
    <row r="21" spans="1:13" ht="46.5" customHeight="1">
      <c r="A21" s="34" t="s">
        <v>42</v>
      </c>
      <c r="B21" s="35" t="s">
        <v>43</v>
      </c>
      <c r="C21" s="31">
        <v>0</v>
      </c>
      <c r="D21" s="31">
        <v>0.34201119999999996</v>
      </c>
      <c r="E21" s="31">
        <v>0</v>
      </c>
      <c r="F21" s="31">
        <f t="shared" si="2"/>
        <v>0</v>
      </c>
      <c r="G21" s="26">
        <f t="shared" si="2"/>
        <v>0</v>
      </c>
      <c r="H21" s="26">
        <f t="shared" si="3"/>
        <v>0.34201119999999996</v>
      </c>
      <c r="I21" s="31">
        <f t="shared" si="4"/>
        <v>-0.34201119999999996</v>
      </c>
      <c r="J21" s="37">
        <f t="shared" si="1"/>
        <v>-100</v>
      </c>
      <c r="K21" s="31">
        <f t="shared" si="5"/>
        <v>-0.34201119999999996</v>
      </c>
      <c r="L21" s="22"/>
      <c r="M21" s="27"/>
    </row>
    <row r="22" spans="1:13" ht="69.75" customHeight="1">
      <c r="A22" s="34" t="s">
        <v>44</v>
      </c>
      <c r="B22" s="35" t="s">
        <v>45</v>
      </c>
      <c r="C22" s="31">
        <v>0</v>
      </c>
      <c r="D22" s="31">
        <v>0.46020708000000005</v>
      </c>
      <c r="E22" s="31">
        <v>0</v>
      </c>
      <c r="F22" s="31">
        <f t="shared" si="2"/>
        <v>0</v>
      </c>
      <c r="G22" s="26">
        <f t="shared" si="2"/>
        <v>0</v>
      </c>
      <c r="H22" s="26">
        <f t="shared" si="3"/>
        <v>0.46020708000000005</v>
      </c>
      <c r="I22" s="31">
        <f t="shared" si="4"/>
        <v>-0.46020708000000005</v>
      </c>
      <c r="J22" s="37">
        <f t="shared" si="1"/>
        <v>-100</v>
      </c>
      <c r="K22" s="31">
        <f t="shared" si="5"/>
        <v>-0.46020708000000005</v>
      </c>
      <c r="L22" s="22"/>
      <c r="M22" s="27"/>
    </row>
    <row r="23" spans="1:13" ht="106.5" customHeight="1">
      <c r="A23" s="34" t="s">
        <v>46</v>
      </c>
      <c r="B23" s="35" t="s">
        <v>47</v>
      </c>
      <c r="C23" s="31">
        <v>0</v>
      </c>
      <c r="D23" s="31">
        <v>0.35059451999999997</v>
      </c>
      <c r="E23" s="31">
        <v>0</v>
      </c>
      <c r="F23" s="31">
        <f t="shared" si="2"/>
        <v>0</v>
      </c>
      <c r="G23" s="26">
        <f t="shared" si="2"/>
        <v>0</v>
      </c>
      <c r="H23" s="26">
        <f t="shared" si="3"/>
        <v>0.35059451999999997</v>
      </c>
      <c r="I23" s="31">
        <f t="shared" si="4"/>
        <v>-0.35059451999999997</v>
      </c>
      <c r="J23" s="37">
        <f t="shared" si="1"/>
        <v>-100</v>
      </c>
      <c r="K23" s="31">
        <f t="shared" si="5"/>
        <v>-0.35059451999999997</v>
      </c>
      <c r="L23" s="22"/>
      <c r="M23" s="27"/>
    </row>
    <row r="24" spans="1:13" ht="63.75" customHeight="1">
      <c r="A24" s="34" t="s">
        <v>48</v>
      </c>
      <c r="B24" s="35" t="s">
        <v>49</v>
      </c>
      <c r="C24" s="31">
        <v>0</v>
      </c>
      <c r="D24" s="31">
        <v>1.19353814</v>
      </c>
      <c r="E24" s="31">
        <v>0</v>
      </c>
      <c r="F24" s="31">
        <f t="shared" si="2"/>
        <v>0</v>
      </c>
      <c r="G24" s="26">
        <f t="shared" si="2"/>
        <v>0</v>
      </c>
      <c r="H24" s="26">
        <f t="shared" si="3"/>
        <v>1.19353814</v>
      </c>
      <c r="I24" s="31">
        <f t="shared" si="4"/>
        <v>-1.19353814</v>
      </c>
      <c r="J24" s="37">
        <f t="shared" si="1"/>
        <v>-100</v>
      </c>
      <c r="K24" s="31">
        <f t="shared" si="5"/>
        <v>-1.19353814</v>
      </c>
      <c r="L24" s="22"/>
      <c r="M24" s="27"/>
    </row>
    <row r="25" spans="1:13" ht="40.5" customHeight="1">
      <c r="A25" s="34" t="s">
        <v>50</v>
      </c>
      <c r="B25" s="35" t="s">
        <v>51</v>
      </c>
      <c r="C25" s="31">
        <v>0</v>
      </c>
      <c r="D25" s="31">
        <v>0.099417637536</v>
      </c>
      <c r="E25" s="31">
        <v>0</v>
      </c>
      <c r="F25" s="31">
        <f t="shared" si="2"/>
        <v>0</v>
      </c>
      <c r="G25" s="26">
        <f t="shared" si="2"/>
        <v>0</v>
      </c>
      <c r="H25" s="26">
        <f t="shared" si="3"/>
        <v>0.099417637536</v>
      </c>
      <c r="I25" s="31">
        <f t="shared" si="4"/>
        <v>-0.099417637536</v>
      </c>
      <c r="J25" s="37">
        <f t="shared" si="1"/>
        <v>-100</v>
      </c>
      <c r="K25" s="31">
        <f t="shared" si="5"/>
        <v>-0.099417637536</v>
      </c>
      <c r="L25" s="22"/>
      <c r="M25" s="27"/>
    </row>
    <row r="26" spans="1:13" ht="42" customHeight="1">
      <c r="A26" s="34" t="s">
        <v>52</v>
      </c>
      <c r="B26" s="35" t="s">
        <v>53</v>
      </c>
      <c r="C26" s="31">
        <v>0</v>
      </c>
      <c r="D26" s="31">
        <v>0.5049269796</v>
      </c>
      <c r="E26" s="31">
        <v>0</v>
      </c>
      <c r="F26" s="31">
        <f t="shared" si="2"/>
        <v>0</v>
      </c>
      <c r="G26" s="26">
        <f t="shared" si="2"/>
        <v>0</v>
      </c>
      <c r="H26" s="26">
        <f t="shared" si="3"/>
        <v>0.5049269796</v>
      </c>
      <c r="I26" s="31">
        <f t="shared" si="4"/>
        <v>-0.5049269796</v>
      </c>
      <c r="J26" s="37">
        <f t="shared" si="1"/>
        <v>-100</v>
      </c>
      <c r="K26" s="31">
        <f t="shared" si="5"/>
        <v>-0.5049269796</v>
      </c>
      <c r="L26" s="22"/>
      <c r="M26" s="27"/>
    </row>
    <row r="27" spans="1:13" ht="38.25" customHeight="1">
      <c r="A27" s="34" t="s">
        <v>54</v>
      </c>
      <c r="B27" s="35" t="s">
        <v>55</v>
      </c>
      <c r="C27" s="31">
        <v>0</v>
      </c>
      <c r="D27" s="31">
        <v>0.207227216064</v>
      </c>
      <c r="E27" s="31">
        <v>0</v>
      </c>
      <c r="F27" s="31">
        <f t="shared" si="2"/>
        <v>0</v>
      </c>
      <c r="G27" s="26">
        <f t="shared" si="2"/>
        <v>0</v>
      </c>
      <c r="H27" s="26">
        <f t="shared" si="3"/>
        <v>0.207227216064</v>
      </c>
      <c r="I27" s="31">
        <f t="shared" si="4"/>
        <v>-0.207227216064</v>
      </c>
      <c r="J27" s="37">
        <f t="shared" si="1"/>
        <v>-100</v>
      </c>
      <c r="K27" s="31">
        <f t="shared" si="5"/>
        <v>-0.207227216064</v>
      </c>
      <c r="L27" s="22"/>
      <c r="M27" s="27"/>
    </row>
    <row r="28" spans="1:13" ht="42" customHeight="1">
      <c r="A28" s="34" t="s">
        <v>56</v>
      </c>
      <c r="B28" s="35" t="s">
        <v>57</v>
      </c>
      <c r="C28" s="31">
        <v>0</v>
      </c>
      <c r="D28" s="31">
        <v>0.080065060752</v>
      </c>
      <c r="E28" s="31">
        <v>0</v>
      </c>
      <c r="F28" s="31">
        <f t="shared" si="2"/>
        <v>0</v>
      </c>
      <c r="G28" s="26">
        <f t="shared" si="2"/>
        <v>0</v>
      </c>
      <c r="H28" s="26">
        <f t="shared" si="3"/>
        <v>0.080065060752</v>
      </c>
      <c r="I28" s="31">
        <f t="shared" si="4"/>
        <v>-0.080065060752</v>
      </c>
      <c r="J28" s="37">
        <f t="shared" si="1"/>
        <v>-100</v>
      </c>
      <c r="K28" s="31">
        <f t="shared" si="5"/>
        <v>-0.080065060752</v>
      </c>
      <c r="L28" s="22"/>
      <c r="M28" s="27"/>
    </row>
    <row r="29" spans="1:13" ht="41.25" customHeight="1">
      <c r="A29" s="34" t="s">
        <v>58</v>
      </c>
      <c r="B29" s="35" t="s">
        <v>59</v>
      </c>
      <c r="C29" s="31">
        <v>0</v>
      </c>
      <c r="D29" s="31">
        <v>0.113033026944</v>
      </c>
      <c r="E29" s="31">
        <v>0</v>
      </c>
      <c r="F29" s="31">
        <f t="shared" si="2"/>
        <v>0</v>
      </c>
      <c r="G29" s="26">
        <f t="shared" si="2"/>
        <v>0</v>
      </c>
      <c r="H29" s="26">
        <f t="shared" si="3"/>
        <v>0.113033026944</v>
      </c>
      <c r="I29" s="31">
        <f t="shared" si="4"/>
        <v>-0.113033026944</v>
      </c>
      <c r="J29" s="37">
        <f t="shared" si="1"/>
        <v>-100</v>
      </c>
      <c r="K29" s="31">
        <f t="shared" si="5"/>
        <v>-0.113033026944</v>
      </c>
      <c r="L29" s="22"/>
      <c r="M29" s="27"/>
    </row>
    <row r="30" spans="1:13" ht="39.75" customHeight="1">
      <c r="A30" s="34" t="s">
        <v>60</v>
      </c>
      <c r="B30" s="35" t="s">
        <v>61</v>
      </c>
      <c r="C30" s="31">
        <v>0</v>
      </c>
      <c r="D30" s="31">
        <v>0.051806804016</v>
      </c>
      <c r="E30" s="31">
        <v>0</v>
      </c>
      <c r="F30" s="31">
        <f t="shared" si="2"/>
        <v>0</v>
      </c>
      <c r="G30" s="26">
        <f t="shared" si="2"/>
        <v>0</v>
      </c>
      <c r="H30" s="26">
        <f t="shared" si="3"/>
        <v>0.051806804016</v>
      </c>
      <c r="I30" s="31">
        <f t="shared" si="4"/>
        <v>-0.051806804016</v>
      </c>
      <c r="J30" s="37">
        <f t="shared" si="1"/>
        <v>-100</v>
      </c>
      <c r="K30" s="31">
        <f t="shared" si="5"/>
        <v>-0.051806804016</v>
      </c>
      <c r="L30" s="22"/>
      <c r="M30" s="27"/>
    </row>
    <row r="31" spans="1:13" ht="38.25" customHeight="1">
      <c r="A31" s="34" t="s">
        <v>62</v>
      </c>
      <c r="B31" s="35" t="s">
        <v>63</v>
      </c>
      <c r="C31" s="31">
        <v>0</v>
      </c>
      <c r="D31" s="31">
        <v>0.14129128368</v>
      </c>
      <c r="E31" s="31">
        <v>0</v>
      </c>
      <c r="F31" s="31">
        <f t="shared" si="2"/>
        <v>0</v>
      </c>
      <c r="G31" s="26">
        <f t="shared" si="2"/>
        <v>0</v>
      </c>
      <c r="H31" s="26">
        <f t="shared" si="3"/>
        <v>0.14129128368</v>
      </c>
      <c r="I31" s="31">
        <f t="shared" si="4"/>
        <v>-0.14129128368</v>
      </c>
      <c r="J31" s="37">
        <f t="shared" si="1"/>
        <v>-100</v>
      </c>
      <c r="K31" s="31">
        <f t="shared" si="5"/>
        <v>-0.14129128368</v>
      </c>
      <c r="L31" s="22"/>
      <c r="M31" s="27"/>
    </row>
    <row r="32" spans="1:13" ht="38.25" customHeight="1">
      <c r="A32" s="34" t="s">
        <v>64</v>
      </c>
      <c r="B32" s="35" t="s">
        <v>65</v>
      </c>
      <c r="C32" s="31">
        <v>0</v>
      </c>
      <c r="D32" s="31">
        <v>0.11774273639999999</v>
      </c>
      <c r="E32" s="31">
        <v>0</v>
      </c>
      <c r="F32" s="31">
        <f t="shared" si="2"/>
        <v>0</v>
      </c>
      <c r="G32" s="26">
        <f t="shared" si="2"/>
        <v>0</v>
      </c>
      <c r="H32" s="26">
        <f t="shared" si="3"/>
        <v>0.11774273639999999</v>
      </c>
      <c r="I32" s="31">
        <f t="shared" si="4"/>
        <v>-0.11774273639999999</v>
      </c>
      <c r="J32" s="37">
        <f t="shared" si="1"/>
        <v>-100</v>
      </c>
      <c r="K32" s="31">
        <f t="shared" si="5"/>
        <v>-0.11774273639999999</v>
      </c>
      <c r="L32" s="22"/>
      <c r="M32" s="27"/>
    </row>
    <row r="33" spans="1:13" ht="40.5" customHeight="1">
      <c r="A33" s="34" t="s">
        <v>66</v>
      </c>
      <c r="B33" s="35" t="s">
        <v>67</v>
      </c>
      <c r="C33" s="31">
        <v>0</v>
      </c>
      <c r="D33" s="31">
        <v>0.0395615594304</v>
      </c>
      <c r="E33" s="31">
        <v>0</v>
      </c>
      <c r="F33" s="31">
        <f t="shared" si="2"/>
        <v>0</v>
      </c>
      <c r="G33" s="26">
        <f t="shared" si="2"/>
        <v>0</v>
      </c>
      <c r="H33" s="26">
        <f t="shared" si="3"/>
        <v>0.0395615594304</v>
      </c>
      <c r="I33" s="31">
        <f t="shared" si="4"/>
        <v>-0.0395615594304</v>
      </c>
      <c r="J33" s="37">
        <f t="shared" si="1"/>
        <v>-100</v>
      </c>
      <c r="K33" s="31">
        <f t="shared" si="5"/>
        <v>-0.0395615594304</v>
      </c>
      <c r="L33" s="22"/>
      <c r="M33" s="27"/>
    </row>
    <row r="34" spans="1:13" ht="37.5" customHeight="1">
      <c r="A34" s="34" t="s">
        <v>68</v>
      </c>
      <c r="B34" s="35" t="s">
        <v>69</v>
      </c>
      <c r="C34" s="31">
        <v>0</v>
      </c>
      <c r="D34" s="31">
        <v>0.023548547280000002</v>
      </c>
      <c r="E34" s="31">
        <v>0</v>
      </c>
      <c r="F34" s="31">
        <f t="shared" si="2"/>
        <v>0</v>
      </c>
      <c r="G34" s="26">
        <f t="shared" si="2"/>
        <v>0</v>
      </c>
      <c r="H34" s="26">
        <f t="shared" si="3"/>
        <v>0.023548547280000002</v>
      </c>
      <c r="I34" s="31">
        <f t="shared" si="4"/>
        <v>-0.023548547280000002</v>
      </c>
      <c r="J34" s="37">
        <f t="shared" si="1"/>
        <v>-100</v>
      </c>
      <c r="K34" s="31">
        <f t="shared" si="5"/>
        <v>-0.023548547280000002</v>
      </c>
      <c r="L34" s="22"/>
      <c r="M34" s="27"/>
    </row>
    <row r="35" spans="1:13" ht="39.75" customHeight="1">
      <c r="A35" s="34" t="s">
        <v>70</v>
      </c>
      <c r="B35" s="35" t="s">
        <v>71</v>
      </c>
      <c r="C35" s="31">
        <v>0</v>
      </c>
      <c r="D35" s="31">
        <v>0.131871864768</v>
      </c>
      <c r="E35" s="31">
        <v>0</v>
      </c>
      <c r="F35" s="31">
        <f t="shared" si="2"/>
        <v>0</v>
      </c>
      <c r="G35" s="26">
        <f t="shared" si="2"/>
        <v>0</v>
      </c>
      <c r="H35" s="26">
        <f t="shared" si="3"/>
        <v>0.131871864768</v>
      </c>
      <c r="I35" s="31">
        <f t="shared" si="4"/>
        <v>-0.131871864768</v>
      </c>
      <c r="J35" s="37">
        <f t="shared" si="1"/>
        <v>-100</v>
      </c>
      <c r="K35" s="31">
        <f t="shared" si="5"/>
        <v>-0.131871864768</v>
      </c>
      <c r="L35" s="22"/>
      <c r="M35" s="27"/>
    </row>
    <row r="36" spans="1:13" ht="36" customHeight="1">
      <c r="A36" s="34" t="s">
        <v>72</v>
      </c>
      <c r="B36" s="35" t="s">
        <v>73</v>
      </c>
      <c r="C36" s="31">
        <v>0</v>
      </c>
      <c r="D36" s="31">
        <v>0.292001986272</v>
      </c>
      <c r="E36" s="31">
        <v>0</v>
      </c>
      <c r="F36" s="31">
        <f t="shared" si="2"/>
        <v>0</v>
      </c>
      <c r="G36" s="26">
        <f t="shared" si="2"/>
        <v>0</v>
      </c>
      <c r="H36" s="26">
        <f t="shared" si="3"/>
        <v>0.292001986272</v>
      </c>
      <c r="I36" s="31">
        <f t="shared" si="4"/>
        <v>-0.292001986272</v>
      </c>
      <c r="J36" s="37">
        <f t="shared" si="1"/>
        <v>-100</v>
      </c>
      <c r="K36" s="31">
        <f t="shared" si="5"/>
        <v>-0.292001986272</v>
      </c>
      <c r="L36" s="22"/>
      <c r="M36" s="27"/>
    </row>
    <row r="37" spans="1:13" ht="42" customHeight="1">
      <c r="A37" s="34" t="s">
        <v>74</v>
      </c>
      <c r="B37" s="35" t="s">
        <v>75</v>
      </c>
      <c r="C37" s="31">
        <v>0</v>
      </c>
      <c r="D37" s="31">
        <v>0.09419418912000001</v>
      </c>
      <c r="E37" s="31">
        <v>0</v>
      </c>
      <c r="F37" s="31">
        <f t="shared" si="2"/>
        <v>0</v>
      </c>
      <c r="G37" s="26">
        <f t="shared" si="2"/>
        <v>0</v>
      </c>
      <c r="H37" s="26">
        <f t="shared" si="3"/>
        <v>0.09419418912000001</v>
      </c>
      <c r="I37" s="31">
        <f t="shared" si="4"/>
        <v>-0.09419418912000001</v>
      </c>
      <c r="J37" s="37">
        <f t="shared" si="1"/>
        <v>-100</v>
      </c>
      <c r="K37" s="31">
        <f t="shared" si="5"/>
        <v>-0.09419418912000001</v>
      </c>
      <c r="L37" s="22"/>
      <c r="M37" s="27"/>
    </row>
    <row r="38" spans="1:13" ht="41.25" customHeight="1">
      <c r="A38" s="34" t="s">
        <v>76</v>
      </c>
      <c r="B38" s="35" t="s">
        <v>77</v>
      </c>
      <c r="C38" s="31">
        <v>0</v>
      </c>
      <c r="D38" s="31">
        <v>0.131871864768</v>
      </c>
      <c r="E38" s="31">
        <v>0</v>
      </c>
      <c r="F38" s="31">
        <f t="shared" si="2"/>
        <v>0</v>
      </c>
      <c r="G38" s="26">
        <f t="shared" si="2"/>
        <v>0</v>
      </c>
      <c r="H38" s="26">
        <f t="shared" si="3"/>
        <v>0.131871864768</v>
      </c>
      <c r="I38" s="31">
        <f t="shared" si="4"/>
        <v>-0.131871864768</v>
      </c>
      <c r="J38" s="37">
        <f t="shared" si="1"/>
        <v>-100</v>
      </c>
      <c r="K38" s="31">
        <f t="shared" si="5"/>
        <v>-0.131871864768</v>
      </c>
      <c r="L38" s="22"/>
      <c r="M38" s="27"/>
    </row>
    <row r="39" spans="1:13" ht="45.75" customHeight="1">
      <c r="A39" s="34" t="s">
        <v>78</v>
      </c>
      <c r="B39" s="35" t="s">
        <v>79</v>
      </c>
      <c r="C39" s="31">
        <v>0</v>
      </c>
      <c r="D39" s="31">
        <v>0.18838837824000002</v>
      </c>
      <c r="E39" s="31">
        <v>0</v>
      </c>
      <c r="F39" s="31">
        <f aca="true" t="shared" si="6" ref="F39:G58">E39</f>
        <v>0</v>
      </c>
      <c r="G39" s="26">
        <f t="shared" si="6"/>
        <v>0</v>
      </c>
      <c r="H39" s="26">
        <f t="shared" si="3"/>
        <v>0.18838837824000002</v>
      </c>
      <c r="I39" s="31">
        <f t="shared" si="4"/>
        <v>-0.18838837824000002</v>
      </c>
      <c r="J39" s="37">
        <f t="shared" si="1"/>
        <v>-100</v>
      </c>
      <c r="K39" s="31">
        <f t="shared" si="5"/>
        <v>-0.18838837824000002</v>
      </c>
      <c r="L39" s="22"/>
      <c r="M39" s="27"/>
    </row>
    <row r="40" spans="1:13" ht="41.25" customHeight="1">
      <c r="A40" s="34" t="s">
        <v>80</v>
      </c>
      <c r="B40" s="35" t="s">
        <v>81</v>
      </c>
      <c r="C40" s="31">
        <v>0</v>
      </c>
      <c r="D40" s="31">
        <v>0.056516513472</v>
      </c>
      <c r="E40" s="31">
        <v>0</v>
      </c>
      <c r="F40" s="31">
        <f t="shared" si="6"/>
        <v>0</v>
      </c>
      <c r="G40" s="26">
        <f t="shared" si="6"/>
        <v>0</v>
      </c>
      <c r="H40" s="26">
        <f t="shared" si="3"/>
        <v>0.056516513472</v>
      </c>
      <c r="I40" s="31">
        <f t="shared" si="4"/>
        <v>-0.056516513472</v>
      </c>
      <c r="J40" s="37">
        <f t="shared" si="1"/>
        <v>-100</v>
      </c>
      <c r="K40" s="31">
        <f t="shared" si="5"/>
        <v>-0.056516513472</v>
      </c>
      <c r="L40" s="22"/>
      <c r="M40" s="27"/>
    </row>
    <row r="41" spans="1:13" ht="42" customHeight="1">
      <c r="A41" s="34" t="s">
        <v>82</v>
      </c>
      <c r="B41" s="35" t="s">
        <v>83</v>
      </c>
      <c r="C41" s="31">
        <v>0</v>
      </c>
      <c r="D41" s="31">
        <v>0.07535535129599999</v>
      </c>
      <c r="E41" s="31">
        <v>0</v>
      </c>
      <c r="F41" s="31">
        <f t="shared" si="6"/>
        <v>0</v>
      </c>
      <c r="G41" s="26">
        <f t="shared" si="6"/>
        <v>0</v>
      </c>
      <c r="H41" s="26">
        <f t="shared" si="3"/>
        <v>0.07535535129599999</v>
      </c>
      <c r="I41" s="31">
        <f t="shared" si="4"/>
        <v>-0.07535535129599999</v>
      </c>
      <c r="J41" s="37">
        <f t="shared" si="1"/>
        <v>-100</v>
      </c>
      <c r="K41" s="31">
        <f t="shared" si="5"/>
        <v>-0.07535535129599999</v>
      </c>
      <c r="L41" s="22"/>
      <c r="M41" s="27"/>
    </row>
    <row r="42" spans="1:13" ht="44.25" customHeight="1">
      <c r="A42" s="34" t="s">
        <v>84</v>
      </c>
      <c r="B42" s="35" t="s">
        <v>85</v>
      </c>
      <c r="C42" s="31">
        <v>0</v>
      </c>
      <c r="D42" s="31">
        <v>0.207227216064</v>
      </c>
      <c r="E42" s="31">
        <v>0</v>
      </c>
      <c r="F42" s="31">
        <f t="shared" si="6"/>
        <v>0</v>
      </c>
      <c r="G42" s="26">
        <f t="shared" si="6"/>
        <v>0</v>
      </c>
      <c r="H42" s="26">
        <f t="shared" si="3"/>
        <v>0.207227216064</v>
      </c>
      <c r="I42" s="31">
        <f t="shared" si="4"/>
        <v>-0.207227216064</v>
      </c>
      <c r="J42" s="37">
        <f t="shared" si="1"/>
        <v>-100</v>
      </c>
      <c r="K42" s="31">
        <f t="shared" si="5"/>
        <v>-0.207227216064</v>
      </c>
      <c r="L42" s="22"/>
      <c r="M42" s="27"/>
    </row>
    <row r="43" spans="1:13" ht="41.25" customHeight="1">
      <c r="A43" s="34" t="s">
        <v>86</v>
      </c>
      <c r="B43" s="35" t="s">
        <v>87</v>
      </c>
      <c r="C43" s="31">
        <v>0</v>
      </c>
      <c r="D43" s="31">
        <v>0.037677675647999995</v>
      </c>
      <c r="E43" s="31">
        <v>0</v>
      </c>
      <c r="F43" s="31">
        <f t="shared" si="6"/>
        <v>0</v>
      </c>
      <c r="G43" s="26">
        <f t="shared" si="6"/>
        <v>0</v>
      </c>
      <c r="H43" s="26">
        <f t="shared" si="3"/>
        <v>0.037677675647999995</v>
      </c>
      <c r="I43" s="31">
        <f t="shared" si="4"/>
        <v>-0.037677675647999995</v>
      </c>
      <c r="J43" s="37">
        <f t="shared" si="1"/>
        <v>-100</v>
      </c>
      <c r="K43" s="31">
        <f t="shared" si="5"/>
        <v>-0.037677675647999995</v>
      </c>
      <c r="L43" s="22"/>
      <c r="M43" s="27"/>
    </row>
    <row r="44" spans="1:13" ht="33" customHeight="1">
      <c r="A44" s="34" t="s">
        <v>88</v>
      </c>
      <c r="B44" s="35" t="s">
        <v>89</v>
      </c>
      <c r="C44" s="31">
        <v>0</v>
      </c>
      <c r="D44" s="31">
        <v>0.051806804016</v>
      </c>
      <c r="E44" s="31">
        <v>0</v>
      </c>
      <c r="F44" s="31">
        <f t="shared" si="6"/>
        <v>0</v>
      </c>
      <c r="G44" s="26">
        <f t="shared" si="6"/>
        <v>0</v>
      </c>
      <c r="H44" s="26">
        <f t="shared" si="3"/>
        <v>0.051806804016</v>
      </c>
      <c r="I44" s="31">
        <f t="shared" si="4"/>
        <v>-0.051806804016</v>
      </c>
      <c r="J44" s="37">
        <f t="shared" si="1"/>
        <v>-100</v>
      </c>
      <c r="K44" s="31">
        <f t="shared" si="5"/>
        <v>-0.051806804016</v>
      </c>
      <c r="L44" s="22"/>
      <c r="M44" s="27"/>
    </row>
    <row r="45" spans="1:13" ht="43.5" customHeight="1">
      <c r="A45" s="34" t="s">
        <v>90</v>
      </c>
      <c r="B45" s="35" t="s">
        <v>91</v>
      </c>
      <c r="C45" s="31">
        <v>0</v>
      </c>
      <c r="D45" s="31">
        <v>0.15071070259199998</v>
      </c>
      <c r="E45" s="31">
        <v>0</v>
      </c>
      <c r="F45" s="31">
        <f t="shared" si="6"/>
        <v>0</v>
      </c>
      <c r="G45" s="26">
        <f t="shared" si="6"/>
        <v>0</v>
      </c>
      <c r="H45" s="26">
        <f t="shared" si="3"/>
        <v>0.15071070259199998</v>
      </c>
      <c r="I45" s="31">
        <f t="shared" si="4"/>
        <v>-0.15071070259199998</v>
      </c>
      <c r="J45" s="37">
        <f t="shared" si="1"/>
        <v>-100</v>
      </c>
      <c r="K45" s="31">
        <f t="shared" si="5"/>
        <v>-0.15071070259199998</v>
      </c>
      <c r="L45" s="22"/>
      <c r="M45" s="27"/>
    </row>
    <row r="46" spans="1:13" ht="39.75" customHeight="1">
      <c r="A46" s="34" t="s">
        <v>92</v>
      </c>
      <c r="B46" s="35" t="s">
        <v>93</v>
      </c>
      <c r="C46" s="31">
        <v>0</v>
      </c>
      <c r="D46" s="31">
        <v>0.122452445856</v>
      </c>
      <c r="E46" s="31">
        <v>0</v>
      </c>
      <c r="F46" s="31">
        <f t="shared" si="6"/>
        <v>0</v>
      </c>
      <c r="G46" s="26">
        <f t="shared" si="6"/>
        <v>0</v>
      </c>
      <c r="H46" s="26">
        <f t="shared" si="3"/>
        <v>0.122452445856</v>
      </c>
      <c r="I46" s="31">
        <f t="shared" si="4"/>
        <v>-0.122452445856</v>
      </c>
      <c r="J46" s="37">
        <f t="shared" si="1"/>
        <v>-100</v>
      </c>
      <c r="K46" s="31">
        <f t="shared" si="5"/>
        <v>-0.122452445856</v>
      </c>
      <c r="L46" s="22"/>
      <c r="M46" s="27"/>
    </row>
    <row r="47" spans="1:13" ht="42" customHeight="1">
      <c r="A47" s="34" t="s">
        <v>94</v>
      </c>
      <c r="B47" s="35" t="s">
        <v>95</v>
      </c>
      <c r="C47" s="31">
        <v>0</v>
      </c>
      <c r="D47" s="31">
        <v>0.146000993136</v>
      </c>
      <c r="E47" s="31">
        <v>0</v>
      </c>
      <c r="F47" s="31">
        <f t="shared" si="6"/>
        <v>0</v>
      </c>
      <c r="G47" s="26">
        <f t="shared" si="6"/>
        <v>0</v>
      </c>
      <c r="H47" s="26">
        <f t="shared" si="3"/>
        <v>0.146000993136</v>
      </c>
      <c r="I47" s="31">
        <f t="shared" si="4"/>
        <v>-0.146000993136</v>
      </c>
      <c r="J47" s="37">
        <f t="shared" si="1"/>
        <v>-100</v>
      </c>
      <c r="K47" s="31">
        <f t="shared" si="5"/>
        <v>-0.146000993136</v>
      </c>
      <c r="L47" s="22"/>
      <c r="M47" s="27"/>
    </row>
    <row r="48" spans="1:13" ht="45.75" customHeight="1">
      <c r="A48" s="34" t="s">
        <v>96</v>
      </c>
      <c r="B48" s="35" t="s">
        <v>97</v>
      </c>
      <c r="C48" s="31">
        <v>0</v>
      </c>
      <c r="D48" s="31">
        <v>0.273163148448</v>
      </c>
      <c r="E48" s="31">
        <v>0</v>
      </c>
      <c r="F48" s="31">
        <f t="shared" si="6"/>
        <v>0</v>
      </c>
      <c r="G48" s="26">
        <f t="shared" si="6"/>
        <v>0</v>
      </c>
      <c r="H48" s="26">
        <f t="shared" si="3"/>
        <v>0.273163148448</v>
      </c>
      <c r="I48" s="31">
        <f t="shared" si="4"/>
        <v>-0.273163148448</v>
      </c>
      <c r="J48" s="37">
        <f aca="true" t="shared" si="7" ref="J48:J72">(E48-D48)/D48*100</f>
        <v>-100</v>
      </c>
      <c r="K48" s="31">
        <f t="shared" si="5"/>
        <v>-0.273163148448</v>
      </c>
      <c r="L48" s="22"/>
      <c r="M48" s="27"/>
    </row>
    <row r="49" spans="1:13" ht="40.5" customHeight="1">
      <c r="A49" s="34" t="s">
        <v>98</v>
      </c>
      <c r="B49" s="35" t="s">
        <v>99</v>
      </c>
      <c r="C49" s="31">
        <v>0</v>
      </c>
      <c r="D49" s="31">
        <v>0.32967966192</v>
      </c>
      <c r="E49" s="31">
        <v>0</v>
      </c>
      <c r="F49" s="31">
        <f t="shared" si="6"/>
        <v>0</v>
      </c>
      <c r="G49" s="26">
        <f t="shared" si="6"/>
        <v>0</v>
      </c>
      <c r="H49" s="26">
        <f t="shared" si="3"/>
        <v>0.32967966192</v>
      </c>
      <c r="I49" s="31">
        <f t="shared" si="4"/>
        <v>-0.32967966192</v>
      </c>
      <c r="J49" s="37">
        <f t="shared" si="7"/>
        <v>-100</v>
      </c>
      <c r="K49" s="31">
        <f t="shared" si="5"/>
        <v>-0.32967966192</v>
      </c>
      <c r="L49" s="22"/>
      <c r="M49" s="27"/>
    </row>
    <row r="50" spans="1:13" ht="39" customHeight="1">
      <c r="A50" s="34" t="s">
        <v>100</v>
      </c>
      <c r="B50" s="35" t="s">
        <v>101</v>
      </c>
      <c r="C50" s="31">
        <v>0</v>
      </c>
      <c r="D50" s="31">
        <v>0.07064564184</v>
      </c>
      <c r="E50" s="31">
        <v>0</v>
      </c>
      <c r="F50" s="31">
        <f t="shared" si="6"/>
        <v>0</v>
      </c>
      <c r="G50" s="26">
        <f t="shared" si="6"/>
        <v>0</v>
      </c>
      <c r="H50" s="26">
        <f t="shared" si="3"/>
        <v>0.07064564184</v>
      </c>
      <c r="I50" s="31">
        <f t="shared" si="4"/>
        <v>-0.07064564184</v>
      </c>
      <c r="J50" s="37">
        <f t="shared" si="7"/>
        <v>-100</v>
      </c>
      <c r="K50" s="31">
        <f t="shared" si="5"/>
        <v>-0.07064564184</v>
      </c>
      <c r="L50" s="22"/>
      <c r="M50" s="27"/>
    </row>
    <row r="51" spans="1:13" ht="42.75" customHeight="1">
      <c r="A51" s="34" t="s">
        <v>102</v>
      </c>
      <c r="B51" s="35" t="s">
        <v>103</v>
      </c>
      <c r="C51" s="31">
        <v>0</v>
      </c>
      <c r="D51" s="31">
        <v>0.103613608032</v>
      </c>
      <c r="E51" s="31">
        <v>0</v>
      </c>
      <c r="F51" s="31">
        <f t="shared" si="6"/>
        <v>0</v>
      </c>
      <c r="G51" s="26">
        <f t="shared" si="6"/>
        <v>0</v>
      </c>
      <c r="H51" s="26">
        <f aca="true" t="shared" si="8" ref="H51:H82">D51-E51</f>
        <v>0.103613608032</v>
      </c>
      <c r="I51" s="31">
        <f aca="true" t="shared" si="9" ref="I51:I82">E51-D51</f>
        <v>-0.103613608032</v>
      </c>
      <c r="J51" s="37">
        <f t="shared" si="7"/>
        <v>-100</v>
      </c>
      <c r="K51" s="31">
        <f aca="true" t="shared" si="10" ref="K51:K82">I51</f>
        <v>-0.103613608032</v>
      </c>
      <c r="L51" s="22"/>
      <c r="M51" s="27"/>
    </row>
    <row r="52" spans="1:13" ht="38.25" customHeight="1">
      <c r="A52" s="34" t="s">
        <v>104</v>
      </c>
      <c r="B52" s="35" t="s">
        <v>105</v>
      </c>
      <c r="C52" s="31">
        <v>0</v>
      </c>
      <c r="D52" s="31">
        <v>0.047097094560000004</v>
      </c>
      <c r="E52" s="31">
        <v>0</v>
      </c>
      <c r="F52" s="31">
        <f t="shared" si="6"/>
        <v>0</v>
      </c>
      <c r="G52" s="26">
        <f t="shared" si="6"/>
        <v>0</v>
      </c>
      <c r="H52" s="26">
        <f t="shared" si="8"/>
        <v>0.047097094560000004</v>
      </c>
      <c r="I52" s="31">
        <f t="shared" si="9"/>
        <v>-0.047097094560000004</v>
      </c>
      <c r="J52" s="37">
        <f t="shared" si="7"/>
        <v>-100</v>
      </c>
      <c r="K52" s="31">
        <f t="shared" si="10"/>
        <v>-0.047097094560000004</v>
      </c>
      <c r="L52" s="22"/>
      <c r="M52" s="27"/>
    </row>
    <row r="53" spans="1:13" ht="35.25" customHeight="1">
      <c r="A53" s="34" t="s">
        <v>106</v>
      </c>
      <c r="B53" s="35" t="s">
        <v>107</v>
      </c>
      <c r="C53" s="31">
        <v>0</v>
      </c>
      <c r="D53" s="31">
        <v>0.07535535129599999</v>
      </c>
      <c r="E53" s="31">
        <v>0</v>
      </c>
      <c r="F53" s="31">
        <f t="shared" si="6"/>
        <v>0</v>
      </c>
      <c r="G53" s="26">
        <f t="shared" si="6"/>
        <v>0</v>
      </c>
      <c r="H53" s="26">
        <f t="shared" si="8"/>
        <v>0.07535535129599999</v>
      </c>
      <c r="I53" s="31">
        <f t="shared" si="9"/>
        <v>-0.07535535129599999</v>
      </c>
      <c r="J53" s="37">
        <f t="shared" si="7"/>
        <v>-100</v>
      </c>
      <c r="K53" s="31">
        <f t="shared" si="10"/>
        <v>-0.07535535129599999</v>
      </c>
      <c r="L53" s="22"/>
      <c r="M53" s="27"/>
    </row>
    <row r="54" spans="1:13" ht="42" customHeight="1">
      <c r="A54" s="34" t="s">
        <v>108</v>
      </c>
      <c r="B54" s="35" t="s">
        <v>109</v>
      </c>
      <c r="C54" s="31">
        <v>0</v>
      </c>
      <c r="D54" s="31">
        <v>0.07535535129599999</v>
      </c>
      <c r="E54" s="31">
        <v>0</v>
      </c>
      <c r="F54" s="31">
        <f t="shared" si="6"/>
        <v>0</v>
      </c>
      <c r="G54" s="26">
        <f t="shared" si="6"/>
        <v>0</v>
      </c>
      <c r="H54" s="26">
        <f t="shared" si="8"/>
        <v>0.07535535129599999</v>
      </c>
      <c r="I54" s="31">
        <f t="shared" si="9"/>
        <v>-0.07535535129599999</v>
      </c>
      <c r="J54" s="37">
        <f t="shared" si="7"/>
        <v>-100</v>
      </c>
      <c r="K54" s="31">
        <f t="shared" si="10"/>
        <v>-0.07535535129599999</v>
      </c>
      <c r="L54" s="22"/>
      <c r="M54" s="27"/>
    </row>
    <row r="55" spans="1:13" ht="36.75" customHeight="1">
      <c r="A55" s="34" t="s">
        <v>110</v>
      </c>
      <c r="B55" s="35" t="s">
        <v>111</v>
      </c>
      <c r="C55" s="31">
        <v>0</v>
      </c>
      <c r="D55" s="31">
        <v>0.080065060752</v>
      </c>
      <c r="E55" s="31">
        <v>0</v>
      </c>
      <c r="F55" s="31">
        <f t="shared" si="6"/>
        <v>0</v>
      </c>
      <c r="G55" s="26">
        <f t="shared" si="6"/>
        <v>0</v>
      </c>
      <c r="H55" s="26">
        <f t="shared" si="8"/>
        <v>0.080065060752</v>
      </c>
      <c r="I55" s="31">
        <f t="shared" si="9"/>
        <v>-0.080065060752</v>
      </c>
      <c r="J55" s="37">
        <f t="shared" si="7"/>
        <v>-100</v>
      </c>
      <c r="K55" s="31">
        <f t="shared" si="10"/>
        <v>-0.080065060752</v>
      </c>
      <c r="L55" s="22"/>
      <c r="M55" s="27"/>
    </row>
    <row r="56" spans="1:13" ht="36" customHeight="1">
      <c r="A56" s="34" t="s">
        <v>112</v>
      </c>
      <c r="B56" s="35" t="s">
        <v>113</v>
      </c>
      <c r="C56" s="31">
        <v>0</v>
      </c>
      <c r="D56" s="31">
        <v>0.136581574224</v>
      </c>
      <c r="E56" s="31">
        <v>0</v>
      </c>
      <c r="F56" s="31">
        <f t="shared" si="6"/>
        <v>0</v>
      </c>
      <c r="G56" s="26">
        <f t="shared" si="6"/>
        <v>0</v>
      </c>
      <c r="H56" s="26">
        <f t="shared" si="8"/>
        <v>0.136581574224</v>
      </c>
      <c r="I56" s="31">
        <f t="shared" si="9"/>
        <v>-0.136581574224</v>
      </c>
      <c r="J56" s="37">
        <f t="shared" si="7"/>
        <v>-100</v>
      </c>
      <c r="K56" s="31">
        <f t="shared" si="10"/>
        <v>-0.136581574224</v>
      </c>
      <c r="L56" s="22"/>
      <c r="M56" s="27"/>
    </row>
    <row r="57" spans="1:13" ht="34.5" customHeight="1">
      <c r="A57" s="34" t="s">
        <v>114</v>
      </c>
      <c r="B57" s="35" t="s">
        <v>115</v>
      </c>
      <c r="C57" s="31">
        <v>0</v>
      </c>
      <c r="D57" s="31">
        <v>0.047097094560000004</v>
      </c>
      <c r="E57" s="31">
        <v>0</v>
      </c>
      <c r="F57" s="31">
        <f t="shared" si="6"/>
        <v>0</v>
      </c>
      <c r="G57" s="26">
        <f t="shared" si="6"/>
        <v>0</v>
      </c>
      <c r="H57" s="26">
        <f t="shared" si="8"/>
        <v>0.047097094560000004</v>
      </c>
      <c r="I57" s="31">
        <f t="shared" si="9"/>
        <v>-0.047097094560000004</v>
      </c>
      <c r="J57" s="37">
        <f t="shared" si="7"/>
        <v>-100</v>
      </c>
      <c r="K57" s="31">
        <f t="shared" si="10"/>
        <v>-0.047097094560000004</v>
      </c>
      <c r="L57" s="22"/>
      <c r="M57" s="27"/>
    </row>
    <row r="58" spans="1:13" ht="39.75" customHeight="1">
      <c r="A58" s="34" t="s">
        <v>116</v>
      </c>
      <c r="B58" s="35" t="s">
        <v>117</v>
      </c>
      <c r="C58" s="31">
        <v>0</v>
      </c>
      <c r="D58" s="31">
        <v>0.037677675647999995</v>
      </c>
      <c r="E58" s="31">
        <v>0</v>
      </c>
      <c r="F58" s="31">
        <f t="shared" si="6"/>
        <v>0</v>
      </c>
      <c r="G58" s="26">
        <f t="shared" si="6"/>
        <v>0</v>
      </c>
      <c r="H58" s="26">
        <f t="shared" si="8"/>
        <v>0.037677675647999995</v>
      </c>
      <c r="I58" s="31">
        <f t="shared" si="9"/>
        <v>-0.037677675647999995</v>
      </c>
      <c r="J58" s="37">
        <f t="shared" si="7"/>
        <v>-100</v>
      </c>
      <c r="K58" s="31">
        <f t="shared" si="10"/>
        <v>-0.037677675647999995</v>
      </c>
      <c r="L58" s="22"/>
      <c r="M58" s="27"/>
    </row>
    <row r="59" spans="1:13" ht="46.5" customHeight="1">
      <c r="A59" s="34" t="s">
        <v>118</v>
      </c>
      <c r="B59" s="35" t="s">
        <v>119</v>
      </c>
      <c r="C59" s="31">
        <v>0</v>
      </c>
      <c r="D59" s="31">
        <v>0.028258256736</v>
      </c>
      <c r="E59" s="31">
        <v>0</v>
      </c>
      <c r="F59" s="31">
        <f aca="true" t="shared" si="11" ref="F59:G78">E59</f>
        <v>0</v>
      </c>
      <c r="G59" s="26">
        <f t="shared" si="11"/>
        <v>0</v>
      </c>
      <c r="H59" s="26">
        <f t="shared" si="8"/>
        <v>0.028258256736</v>
      </c>
      <c r="I59" s="31">
        <f t="shared" si="9"/>
        <v>-0.028258256736</v>
      </c>
      <c r="J59" s="37">
        <f t="shared" si="7"/>
        <v>-100</v>
      </c>
      <c r="K59" s="31">
        <f t="shared" si="10"/>
        <v>-0.028258256736</v>
      </c>
      <c r="L59" s="22"/>
      <c r="M59" s="27"/>
    </row>
    <row r="60" spans="1:13" ht="66" customHeight="1">
      <c r="A60" s="34" t="s">
        <v>120</v>
      </c>
      <c r="B60" s="35" t="s">
        <v>121</v>
      </c>
      <c r="C60" s="31">
        <v>0</v>
      </c>
      <c r="D60" s="31">
        <v>0.018838837823999997</v>
      </c>
      <c r="E60" s="31">
        <v>0</v>
      </c>
      <c r="F60" s="31">
        <f t="shared" si="11"/>
        <v>0</v>
      </c>
      <c r="G60" s="26">
        <f t="shared" si="11"/>
        <v>0</v>
      </c>
      <c r="H60" s="26">
        <f t="shared" si="8"/>
        <v>0.018838837823999997</v>
      </c>
      <c r="I60" s="31">
        <f t="shared" si="9"/>
        <v>-0.018838837823999997</v>
      </c>
      <c r="J60" s="37">
        <f t="shared" si="7"/>
        <v>-100</v>
      </c>
      <c r="K60" s="31">
        <f t="shared" si="10"/>
        <v>-0.018838837823999997</v>
      </c>
      <c r="L60" s="22"/>
      <c r="M60" s="27"/>
    </row>
    <row r="61" spans="1:13" ht="41.25" customHeight="1">
      <c r="A61" s="34" t="s">
        <v>122</v>
      </c>
      <c r="B61" s="35" t="s">
        <v>123</v>
      </c>
      <c r="C61" s="31">
        <v>0</v>
      </c>
      <c r="D61" s="31">
        <v>0.122452445856</v>
      </c>
      <c r="E61" s="31">
        <v>0</v>
      </c>
      <c r="F61" s="31">
        <f t="shared" si="11"/>
        <v>0</v>
      </c>
      <c r="G61" s="26">
        <f t="shared" si="11"/>
        <v>0</v>
      </c>
      <c r="H61" s="26">
        <f t="shared" si="8"/>
        <v>0.122452445856</v>
      </c>
      <c r="I61" s="31">
        <f t="shared" si="9"/>
        <v>-0.122452445856</v>
      </c>
      <c r="J61" s="37">
        <f t="shared" si="7"/>
        <v>-100</v>
      </c>
      <c r="K61" s="31">
        <f t="shared" si="10"/>
        <v>-0.122452445856</v>
      </c>
      <c r="L61" s="22"/>
      <c r="M61" s="27"/>
    </row>
    <row r="62" spans="1:13" ht="39.75" customHeight="1">
      <c r="A62" s="34" t="s">
        <v>124</v>
      </c>
      <c r="B62" s="35" t="s">
        <v>125</v>
      </c>
      <c r="C62" s="31">
        <v>0</v>
      </c>
      <c r="D62" s="31">
        <v>0.113033026944</v>
      </c>
      <c r="E62" s="31">
        <v>0</v>
      </c>
      <c r="F62" s="31">
        <f t="shared" si="11"/>
        <v>0</v>
      </c>
      <c r="G62" s="26">
        <f t="shared" si="11"/>
        <v>0</v>
      </c>
      <c r="H62" s="26">
        <f t="shared" si="8"/>
        <v>0.113033026944</v>
      </c>
      <c r="I62" s="31">
        <f t="shared" si="9"/>
        <v>-0.113033026944</v>
      </c>
      <c r="J62" s="37">
        <f t="shared" si="7"/>
        <v>-100</v>
      </c>
      <c r="K62" s="31">
        <f t="shared" si="10"/>
        <v>-0.113033026944</v>
      </c>
      <c r="L62" s="22"/>
      <c r="M62" s="27"/>
    </row>
    <row r="63" spans="1:13" ht="42" customHeight="1">
      <c r="A63" s="34" t="s">
        <v>126</v>
      </c>
      <c r="B63" s="35" t="s">
        <v>127</v>
      </c>
      <c r="C63" s="31">
        <v>0</v>
      </c>
      <c r="D63" s="31">
        <v>0.47097094559999997</v>
      </c>
      <c r="E63" s="31">
        <v>0</v>
      </c>
      <c r="F63" s="31">
        <f t="shared" si="11"/>
        <v>0</v>
      </c>
      <c r="G63" s="26">
        <f t="shared" si="11"/>
        <v>0</v>
      </c>
      <c r="H63" s="26">
        <f t="shared" si="8"/>
        <v>0.47097094559999997</v>
      </c>
      <c r="I63" s="31">
        <f t="shared" si="9"/>
        <v>-0.47097094559999997</v>
      </c>
      <c r="J63" s="37">
        <f t="shared" si="7"/>
        <v>-100</v>
      </c>
      <c r="K63" s="31">
        <f t="shared" si="10"/>
        <v>-0.47097094559999997</v>
      </c>
      <c r="L63" s="22"/>
      <c r="M63" s="27"/>
    </row>
    <row r="64" spans="1:13" ht="38.25" customHeight="1">
      <c r="A64" s="34" t="s">
        <v>128</v>
      </c>
      <c r="B64" s="35" t="s">
        <v>129</v>
      </c>
      <c r="C64" s="31">
        <v>0</v>
      </c>
      <c r="D64" s="31">
        <v>0.32967966192</v>
      </c>
      <c r="E64" s="31">
        <v>0</v>
      </c>
      <c r="F64" s="31">
        <f t="shared" si="11"/>
        <v>0</v>
      </c>
      <c r="G64" s="26">
        <f t="shared" si="11"/>
        <v>0</v>
      </c>
      <c r="H64" s="26">
        <f t="shared" si="8"/>
        <v>0.32967966192</v>
      </c>
      <c r="I64" s="31">
        <f t="shared" si="9"/>
        <v>-0.32967966192</v>
      </c>
      <c r="J64" s="37">
        <f t="shared" si="7"/>
        <v>-100</v>
      </c>
      <c r="K64" s="31">
        <f t="shared" si="10"/>
        <v>-0.32967966192</v>
      </c>
      <c r="L64" s="22"/>
      <c r="M64" s="27"/>
    </row>
    <row r="65" spans="1:13" ht="39.75" customHeight="1">
      <c r="A65" s="34" t="s">
        <v>130</v>
      </c>
      <c r="B65" s="35" t="s">
        <v>131</v>
      </c>
      <c r="C65" s="31">
        <v>0</v>
      </c>
      <c r="D65" s="31">
        <v>0.18838837824000002</v>
      </c>
      <c r="E65" s="31">
        <v>0</v>
      </c>
      <c r="F65" s="31">
        <f t="shared" si="11"/>
        <v>0</v>
      </c>
      <c r="G65" s="26">
        <f t="shared" si="11"/>
        <v>0</v>
      </c>
      <c r="H65" s="26">
        <f t="shared" si="8"/>
        <v>0.18838837824000002</v>
      </c>
      <c r="I65" s="31">
        <f t="shared" si="9"/>
        <v>-0.18838837824000002</v>
      </c>
      <c r="J65" s="37">
        <f t="shared" si="7"/>
        <v>-100</v>
      </c>
      <c r="K65" s="31">
        <f t="shared" si="10"/>
        <v>-0.18838837824000002</v>
      </c>
      <c r="L65" s="22"/>
      <c r="M65" s="27"/>
    </row>
    <row r="66" spans="1:13" ht="39.75" customHeight="1">
      <c r="A66" s="34" t="s">
        <v>132</v>
      </c>
      <c r="B66" s="35" t="s">
        <v>133</v>
      </c>
      <c r="C66" s="31">
        <v>0</v>
      </c>
      <c r="D66" s="31">
        <v>0.32967966192</v>
      </c>
      <c r="E66" s="31">
        <v>0</v>
      </c>
      <c r="F66" s="31">
        <f t="shared" si="11"/>
        <v>0</v>
      </c>
      <c r="G66" s="26">
        <f t="shared" si="11"/>
        <v>0</v>
      </c>
      <c r="H66" s="26">
        <f t="shared" si="8"/>
        <v>0.32967966192</v>
      </c>
      <c r="I66" s="31">
        <f t="shared" si="9"/>
        <v>-0.32967966192</v>
      </c>
      <c r="J66" s="37">
        <f t="shared" si="7"/>
        <v>-100</v>
      </c>
      <c r="K66" s="31">
        <f t="shared" si="10"/>
        <v>-0.32967966192</v>
      </c>
      <c r="L66" s="22"/>
      <c r="M66" s="27"/>
    </row>
    <row r="67" spans="1:13" ht="39.75" customHeight="1">
      <c r="A67" s="34" t="s">
        <v>134</v>
      </c>
      <c r="B67" s="35" t="s">
        <v>135</v>
      </c>
      <c r="C67" s="31">
        <v>0</v>
      </c>
      <c r="D67" s="31">
        <v>0.244904891712</v>
      </c>
      <c r="E67" s="31">
        <v>0</v>
      </c>
      <c r="F67" s="31">
        <f t="shared" si="11"/>
        <v>0</v>
      </c>
      <c r="G67" s="26">
        <f t="shared" si="11"/>
        <v>0</v>
      </c>
      <c r="H67" s="26">
        <f t="shared" si="8"/>
        <v>0.244904891712</v>
      </c>
      <c r="I67" s="31">
        <f t="shared" si="9"/>
        <v>-0.244904891712</v>
      </c>
      <c r="J67" s="37">
        <f t="shared" si="7"/>
        <v>-100</v>
      </c>
      <c r="K67" s="31">
        <f t="shared" si="10"/>
        <v>-0.244904891712</v>
      </c>
      <c r="L67" s="22"/>
      <c r="M67" s="27"/>
    </row>
    <row r="68" spans="1:13" ht="39.75" customHeight="1">
      <c r="A68" s="34" t="s">
        <v>136</v>
      </c>
      <c r="B68" s="35" t="s">
        <v>137</v>
      </c>
      <c r="C68" s="31">
        <v>0</v>
      </c>
      <c r="D68" s="31">
        <v>0.37677675648000003</v>
      </c>
      <c r="E68" s="31">
        <v>0</v>
      </c>
      <c r="F68" s="31">
        <f t="shared" si="11"/>
        <v>0</v>
      </c>
      <c r="G68" s="26">
        <f t="shared" si="11"/>
        <v>0</v>
      </c>
      <c r="H68" s="26">
        <f t="shared" si="8"/>
        <v>0.37677675648000003</v>
      </c>
      <c r="I68" s="31">
        <f t="shared" si="9"/>
        <v>-0.37677675648000003</v>
      </c>
      <c r="J68" s="37">
        <f t="shared" si="7"/>
        <v>-100</v>
      </c>
      <c r="K68" s="31">
        <f t="shared" si="10"/>
        <v>-0.37677675648000003</v>
      </c>
      <c r="L68" s="22"/>
      <c r="M68" s="27"/>
    </row>
    <row r="69" spans="1:13" ht="39" customHeight="1">
      <c r="A69" s="34" t="s">
        <v>138</v>
      </c>
      <c r="B69" s="35" t="s">
        <v>139</v>
      </c>
      <c r="C69" s="31">
        <v>0</v>
      </c>
      <c r="D69" s="31">
        <v>0.216646634976</v>
      </c>
      <c r="E69" s="31">
        <v>0</v>
      </c>
      <c r="F69" s="31">
        <f t="shared" si="11"/>
        <v>0</v>
      </c>
      <c r="G69" s="26">
        <f t="shared" si="11"/>
        <v>0</v>
      </c>
      <c r="H69" s="26">
        <f t="shared" si="8"/>
        <v>0.216646634976</v>
      </c>
      <c r="I69" s="31">
        <f t="shared" si="9"/>
        <v>-0.216646634976</v>
      </c>
      <c r="J69" s="37">
        <f t="shared" si="7"/>
        <v>-100</v>
      </c>
      <c r="K69" s="31">
        <f t="shared" si="10"/>
        <v>-0.216646634976</v>
      </c>
      <c r="L69" s="22"/>
      <c r="M69" s="27"/>
    </row>
    <row r="70" spans="1:13" ht="42" customHeight="1">
      <c r="A70" s="34" t="s">
        <v>140</v>
      </c>
      <c r="B70" s="35" t="s">
        <v>141</v>
      </c>
      <c r="C70" s="31">
        <v>0</v>
      </c>
      <c r="D70" s="31">
        <v>0.254324310624</v>
      </c>
      <c r="E70" s="31">
        <v>0</v>
      </c>
      <c r="F70" s="31">
        <f t="shared" si="11"/>
        <v>0</v>
      </c>
      <c r="G70" s="26">
        <f t="shared" si="11"/>
        <v>0</v>
      </c>
      <c r="H70" s="26">
        <f t="shared" si="8"/>
        <v>0.254324310624</v>
      </c>
      <c r="I70" s="31">
        <f t="shared" si="9"/>
        <v>-0.254324310624</v>
      </c>
      <c r="J70" s="37">
        <f t="shared" si="7"/>
        <v>-100</v>
      </c>
      <c r="K70" s="31">
        <f t="shared" si="10"/>
        <v>-0.254324310624</v>
      </c>
      <c r="L70" s="22"/>
      <c r="M70" s="27"/>
    </row>
    <row r="71" spans="1:13" ht="40.5" customHeight="1">
      <c r="A71" s="34" t="s">
        <v>142</v>
      </c>
      <c r="B71" s="35" t="s">
        <v>143</v>
      </c>
      <c r="C71" s="31">
        <v>0</v>
      </c>
      <c r="D71" s="31">
        <v>0.178968959328</v>
      </c>
      <c r="E71" s="31">
        <v>0</v>
      </c>
      <c r="F71" s="31">
        <f t="shared" si="11"/>
        <v>0</v>
      </c>
      <c r="G71" s="26">
        <f t="shared" si="11"/>
        <v>0</v>
      </c>
      <c r="H71" s="26">
        <f t="shared" si="8"/>
        <v>0.178968959328</v>
      </c>
      <c r="I71" s="31">
        <f t="shared" si="9"/>
        <v>-0.178968959328</v>
      </c>
      <c r="J71" s="37">
        <f t="shared" si="7"/>
        <v>-100</v>
      </c>
      <c r="K71" s="31">
        <f t="shared" si="10"/>
        <v>-0.178968959328</v>
      </c>
      <c r="L71" s="22"/>
      <c r="M71" s="27"/>
    </row>
    <row r="72" spans="1:13" ht="35.25" customHeight="1">
      <c r="A72" s="34" t="s">
        <v>144</v>
      </c>
      <c r="B72" s="35" t="s">
        <v>145</v>
      </c>
      <c r="C72" s="31">
        <v>0</v>
      </c>
      <c r="D72" s="31">
        <v>6.629499</v>
      </c>
      <c r="E72" s="31">
        <v>1.69771084</v>
      </c>
      <c r="F72" s="31">
        <f t="shared" si="11"/>
        <v>1.69771084</v>
      </c>
      <c r="G72" s="26">
        <f t="shared" si="11"/>
        <v>1.69771084</v>
      </c>
      <c r="H72" s="26">
        <f t="shared" si="8"/>
        <v>4.93178816</v>
      </c>
      <c r="I72" s="31">
        <f t="shared" si="9"/>
        <v>-4.93178816</v>
      </c>
      <c r="J72" s="37">
        <f t="shared" si="7"/>
        <v>-74.39156654220778</v>
      </c>
      <c r="K72" s="31">
        <f t="shared" si="10"/>
        <v>-4.93178816</v>
      </c>
      <c r="L72" s="22"/>
      <c r="M72" s="27"/>
    </row>
    <row r="73" spans="1:13" ht="41.25" customHeight="1">
      <c r="A73" s="34" t="s">
        <v>146</v>
      </c>
      <c r="B73" s="35" t="s">
        <v>147</v>
      </c>
      <c r="C73" s="31">
        <v>0</v>
      </c>
      <c r="D73" s="31">
        <v>0</v>
      </c>
      <c r="E73" s="31">
        <v>3.9025370049999997</v>
      </c>
      <c r="F73" s="31">
        <f t="shared" si="11"/>
        <v>3.9025370049999997</v>
      </c>
      <c r="G73" s="26">
        <f t="shared" si="11"/>
        <v>3.9025370049999997</v>
      </c>
      <c r="H73" s="26">
        <f t="shared" si="8"/>
        <v>-3.9025370049999997</v>
      </c>
      <c r="I73" s="31">
        <f t="shared" si="9"/>
        <v>3.9025370049999997</v>
      </c>
      <c r="J73" s="37"/>
      <c r="K73" s="31">
        <f t="shared" si="10"/>
        <v>3.9025370049999997</v>
      </c>
      <c r="L73" s="22"/>
      <c r="M73" s="27" t="s">
        <v>148</v>
      </c>
    </row>
    <row r="74" spans="1:13" ht="38.25">
      <c r="A74" s="34" t="s">
        <v>149</v>
      </c>
      <c r="B74" s="35" t="s">
        <v>150</v>
      </c>
      <c r="C74" s="31">
        <v>0</v>
      </c>
      <c r="D74" s="31">
        <v>0</v>
      </c>
      <c r="E74" s="31">
        <v>0.1582112258</v>
      </c>
      <c r="F74" s="31">
        <f t="shared" si="11"/>
        <v>0.1582112258</v>
      </c>
      <c r="G74" s="26">
        <f t="shared" si="11"/>
        <v>0.1582112258</v>
      </c>
      <c r="H74" s="26">
        <f t="shared" si="8"/>
        <v>-0.1582112258</v>
      </c>
      <c r="I74" s="31">
        <f t="shared" si="9"/>
        <v>0.1582112258</v>
      </c>
      <c r="J74" s="37"/>
      <c r="K74" s="31">
        <f t="shared" si="10"/>
        <v>0.1582112258</v>
      </c>
      <c r="L74" s="22"/>
      <c r="M74" s="27" t="s">
        <v>148</v>
      </c>
    </row>
    <row r="75" spans="1:13" ht="38.25">
      <c r="A75" s="34" t="s">
        <v>151</v>
      </c>
      <c r="B75" s="35" t="s">
        <v>152</v>
      </c>
      <c r="C75" s="31">
        <v>0</v>
      </c>
      <c r="D75" s="31">
        <v>0</v>
      </c>
      <c r="E75" s="31">
        <v>0.21140412719999999</v>
      </c>
      <c r="F75" s="31">
        <f t="shared" si="11"/>
        <v>0.21140412719999999</v>
      </c>
      <c r="G75" s="26">
        <f t="shared" si="11"/>
        <v>0.21140412719999999</v>
      </c>
      <c r="H75" s="26">
        <f t="shared" si="8"/>
        <v>-0.21140412719999999</v>
      </c>
      <c r="I75" s="31">
        <f t="shared" si="9"/>
        <v>0.21140412719999999</v>
      </c>
      <c r="J75" s="37"/>
      <c r="K75" s="31">
        <f t="shared" si="10"/>
        <v>0.21140412719999999</v>
      </c>
      <c r="L75" s="22"/>
      <c r="M75" s="27" t="s">
        <v>148</v>
      </c>
    </row>
    <row r="76" spans="1:13" ht="38.25">
      <c r="A76" s="34" t="s">
        <v>153</v>
      </c>
      <c r="B76" s="35" t="s">
        <v>154</v>
      </c>
      <c r="C76" s="31">
        <v>0</v>
      </c>
      <c r="D76" s="31">
        <v>0</v>
      </c>
      <c r="E76" s="31">
        <v>2.2483905967999998</v>
      </c>
      <c r="F76" s="31">
        <f t="shared" si="11"/>
        <v>2.2483905967999998</v>
      </c>
      <c r="G76" s="26">
        <f t="shared" si="11"/>
        <v>2.2483905967999998</v>
      </c>
      <c r="H76" s="26">
        <f t="shared" si="8"/>
        <v>-2.2483905967999998</v>
      </c>
      <c r="I76" s="31">
        <f t="shared" si="9"/>
        <v>2.2483905967999998</v>
      </c>
      <c r="J76" s="37"/>
      <c r="K76" s="31">
        <f t="shared" si="10"/>
        <v>2.2483905967999998</v>
      </c>
      <c r="L76" s="38"/>
      <c r="M76" s="27" t="s">
        <v>148</v>
      </c>
    </row>
    <row r="77" spans="1:13" ht="38.25">
      <c r="A77" s="34" t="s">
        <v>155</v>
      </c>
      <c r="B77" s="35" t="s">
        <v>156</v>
      </c>
      <c r="C77" s="31">
        <v>0</v>
      </c>
      <c r="D77" s="31">
        <v>0</v>
      </c>
      <c r="E77" s="31">
        <v>0.028666448</v>
      </c>
      <c r="F77" s="31">
        <f t="shared" si="11"/>
        <v>0.028666448</v>
      </c>
      <c r="G77" s="26">
        <f t="shared" si="11"/>
        <v>0.028666448</v>
      </c>
      <c r="H77" s="26">
        <f t="shared" si="8"/>
        <v>-0.028666448</v>
      </c>
      <c r="I77" s="31">
        <f t="shared" si="9"/>
        <v>0.028666448</v>
      </c>
      <c r="J77" s="37"/>
      <c r="K77" s="31">
        <f t="shared" si="10"/>
        <v>0.028666448</v>
      </c>
      <c r="L77" s="22"/>
      <c r="M77" s="27" t="s">
        <v>148</v>
      </c>
    </row>
    <row r="78" spans="1:13" ht="38.25">
      <c r="A78" s="34" t="s">
        <v>157</v>
      </c>
      <c r="B78" s="35" t="s">
        <v>158</v>
      </c>
      <c r="C78" s="31">
        <v>0</v>
      </c>
      <c r="D78" s="31">
        <v>0</v>
      </c>
      <c r="E78" s="31">
        <v>0.043161107799999994</v>
      </c>
      <c r="F78" s="31">
        <f t="shared" si="11"/>
        <v>0.043161107799999994</v>
      </c>
      <c r="G78" s="26">
        <f t="shared" si="11"/>
        <v>0.043161107799999994</v>
      </c>
      <c r="H78" s="26">
        <f t="shared" si="8"/>
        <v>-0.043161107799999994</v>
      </c>
      <c r="I78" s="31">
        <f t="shared" si="9"/>
        <v>0.043161107799999994</v>
      </c>
      <c r="J78" s="37"/>
      <c r="K78" s="31">
        <f t="shared" si="10"/>
        <v>0.043161107799999994</v>
      </c>
      <c r="L78" s="22"/>
      <c r="M78" s="27" t="s">
        <v>148</v>
      </c>
    </row>
    <row r="79" spans="1:13" ht="38.25">
      <c r="A79" s="34" t="s">
        <v>159</v>
      </c>
      <c r="B79" s="35" t="s">
        <v>160</v>
      </c>
      <c r="C79" s="31">
        <v>0</v>
      </c>
      <c r="D79" s="31">
        <v>0</v>
      </c>
      <c r="E79" s="31">
        <v>0.04316111959999999</v>
      </c>
      <c r="F79" s="31">
        <f aca="true" t="shared" si="12" ref="F79:G93">E79</f>
        <v>0.04316111959999999</v>
      </c>
      <c r="G79" s="26">
        <f t="shared" si="12"/>
        <v>0.04316111959999999</v>
      </c>
      <c r="H79" s="26">
        <f t="shared" si="8"/>
        <v>-0.04316111959999999</v>
      </c>
      <c r="I79" s="31">
        <f t="shared" si="9"/>
        <v>0.04316111959999999</v>
      </c>
      <c r="J79" s="37"/>
      <c r="K79" s="31">
        <f t="shared" si="10"/>
        <v>0.04316111959999999</v>
      </c>
      <c r="L79" s="22"/>
      <c r="M79" s="27" t="s">
        <v>148</v>
      </c>
    </row>
    <row r="80" spans="1:13" ht="38.25">
      <c r="A80" s="34" t="s">
        <v>161</v>
      </c>
      <c r="B80" s="35" t="s">
        <v>162</v>
      </c>
      <c r="C80" s="31">
        <v>0</v>
      </c>
      <c r="D80" s="31">
        <v>0</v>
      </c>
      <c r="E80" s="31">
        <v>0.043195847</v>
      </c>
      <c r="F80" s="31">
        <f t="shared" si="12"/>
        <v>0.043195847</v>
      </c>
      <c r="G80" s="26">
        <f t="shared" si="12"/>
        <v>0.043195847</v>
      </c>
      <c r="H80" s="26">
        <f t="shared" si="8"/>
        <v>-0.043195847</v>
      </c>
      <c r="I80" s="31">
        <f t="shared" si="9"/>
        <v>0.043195847</v>
      </c>
      <c r="J80" s="37"/>
      <c r="K80" s="31">
        <f t="shared" si="10"/>
        <v>0.043195847</v>
      </c>
      <c r="L80" s="22"/>
      <c r="M80" s="27" t="s">
        <v>148</v>
      </c>
    </row>
    <row r="81" spans="1:13" ht="38.25">
      <c r="A81" s="34" t="s">
        <v>163</v>
      </c>
      <c r="B81" s="35" t="s">
        <v>164</v>
      </c>
      <c r="C81" s="31">
        <v>0</v>
      </c>
      <c r="D81" s="31">
        <v>0</v>
      </c>
      <c r="E81" s="31">
        <v>0.0435714174</v>
      </c>
      <c r="F81" s="31">
        <f t="shared" si="12"/>
        <v>0.0435714174</v>
      </c>
      <c r="G81" s="26">
        <f t="shared" si="12"/>
        <v>0.0435714174</v>
      </c>
      <c r="H81" s="26">
        <f t="shared" si="8"/>
        <v>-0.0435714174</v>
      </c>
      <c r="I81" s="31">
        <f t="shared" si="9"/>
        <v>0.0435714174</v>
      </c>
      <c r="J81" s="37"/>
      <c r="K81" s="31">
        <f t="shared" si="10"/>
        <v>0.0435714174</v>
      </c>
      <c r="L81" s="22"/>
      <c r="M81" s="27" t="s">
        <v>148</v>
      </c>
    </row>
    <row r="82" spans="1:13" ht="38.25">
      <c r="A82" s="34" t="s">
        <v>165</v>
      </c>
      <c r="B82" s="35" t="s">
        <v>166</v>
      </c>
      <c r="C82" s="31">
        <v>0</v>
      </c>
      <c r="D82" s="31">
        <v>0</v>
      </c>
      <c r="E82" s="31">
        <v>0.90291948</v>
      </c>
      <c r="F82" s="31">
        <f t="shared" si="12"/>
        <v>0.90291948</v>
      </c>
      <c r="G82" s="26">
        <f t="shared" si="12"/>
        <v>0.90291948</v>
      </c>
      <c r="H82" s="26">
        <f t="shared" si="8"/>
        <v>-0.90291948</v>
      </c>
      <c r="I82" s="31">
        <f t="shared" si="9"/>
        <v>0.90291948</v>
      </c>
      <c r="J82" s="37"/>
      <c r="K82" s="31">
        <f t="shared" si="10"/>
        <v>0.90291948</v>
      </c>
      <c r="L82" s="38"/>
      <c r="M82" s="27" t="s">
        <v>148</v>
      </c>
    </row>
    <row r="83" spans="1:13" ht="38.25">
      <c r="A83" s="34" t="s">
        <v>167</v>
      </c>
      <c r="B83" s="35" t="s">
        <v>168</v>
      </c>
      <c r="C83" s="31">
        <v>0</v>
      </c>
      <c r="D83" s="31">
        <v>0</v>
      </c>
      <c r="E83" s="31">
        <v>0.053099999999999994</v>
      </c>
      <c r="F83" s="31">
        <f t="shared" si="12"/>
        <v>0.053099999999999994</v>
      </c>
      <c r="G83" s="26">
        <f t="shared" si="12"/>
        <v>0.053099999999999994</v>
      </c>
      <c r="H83" s="26">
        <f aca="true" t="shared" si="13" ref="H83:H93">D83-E83</f>
        <v>-0.053099999999999994</v>
      </c>
      <c r="I83" s="31">
        <f aca="true" t="shared" si="14" ref="I83:I93">E83-D83</f>
        <v>0.053099999999999994</v>
      </c>
      <c r="J83" s="37"/>
      <c r="K83" s="31">
        <f aca="true" t="shared" si="15" ref="K83:K93">I83</f>
        <v>0.053099999999999994</v>
      </c>
      <c r="L83" s="22"/>
      <c r="M83" s="27" t="s">
        <v>148</v>
      </c>
    </row>
    <row r="84" spans="1:13" ht="38.25">
      <c r="A84" s="34" t="s">
        <v>169</v>
      </c>
      <c r="B84" s="35" t="s">
        <v>170</v>
      </c>
      <c r="C84" s="31">
        <v>0</v>
      </c>
      <c r="D84" s="31">
        <v>0</v>
      </c>
      <c r="E84" s="31">
        <v>0.07924202679999998</v>
      </c>
      <c r="F84" s="31">
        <f t="shared" si="12"/>
        <v>0.07924202679999998</v>
      </c>
      <c r="G84" s="26">
        <f t="shared" si="12"/>
        <v>0.07924202679999998</v>
      </c>
      <c r="H84" s="26">
        <f t="shared" si="13"/>
        <v>-0.07924202679999998</v>
      </c>
      <c r="I84" s="31">
        <f t="shared" si="14"/>
        <v>0.07924202679999998</v>
      </c>
      <c r="J84" s="37"/>
      <c r="K84" s="31">
        <f t="shared" si="15"/>
        <v>0.07924202679999998</v>
      </c>
      <c r="L84" s="38"/>
      <c r="M84" s="27" t="s">
        <v>148</v>
      </c>
    </row>
    <row r="85" spans="1:13" ht="38.25">
      <c r="A85" s="34" t="s">
        <v>171</v>
      </c>
      <c r="B85" s="35" t="s">
        <v>172</v>
      </c>
      <c r="C85" s="31">
        <v>0</v>
      </c>
      <c r="D85" s="31">
        <v>0</v>
      </c>
      <c r="E85" s="31">
        <v>0.10978460400000001</v>
      </c>
      <c r="F85" s="31">
        <f t="shared" si="12"/>
        <v>0.10978460400000001</v>
      </c>
      <c r="G85" s="26">
        <f t="shared" si="12"/>
        <v>0.10978460400000001</v>
      </c>
      <c r="H85" s="26">
        <f t="shared" si="13"/>
        <v>-0.10978460400000001</v>
      </c>
      <c r="I85" s="31">
        <f t="shared" si="14"/>
        <v>0.10978460400000001</v>
      </c>
      <c r="J85" s="37"/>
      <c r="K85" s="31">
        <f t="shared" si="15"/>
        <v>0.10978460400000001</v>
      </c>
      <c r="L85" s="38"/>
      <c r="M85" s="27" t="s">
        <v>148</v>
      </c>
    </row>
    <row r="86" spans="1:13" ht="38.25">
      <c r="A86" s="34" t="s">
        <v>173</v>
      </c>
      <c r="B86" s="35" t="s">
        <v>174</v>
      </c>
      <c r="C86" s="31">
        <v>0</v>
      </c>
      <c r="D86" s="31">
        <v>0</v>
      </c>
      <c r="E86" s="31">
        <v>0.077517504</v>
      </c>
      <c r="F86" s="31">
        <f t="shared" si="12"/>
        <v>0.077517504</v>
      </c>
      <c r="G86" s="26">
        <f t="shared" si="12"/>
        <v>0.077517504</v>
      </c>
      <c r="H86" s="26">
        <f t="shared" si="13"/>
        <v>-0.077517504</v>
      </c>
      <c r="I86" s="31">
        <f t="shared" si="14"/>
        <v>0.077517504</v>
      </c>
      <c r="J86" s="37"/>
      <c r="K86" s="31">
        <f t="shared" si="15"/>
        <v>0.077517504</v>
      </c>
      <c r="L86" s="38"/>
      <c r="M86" s="27" t="s">
        <v>148</v>
      </c>
    </row>
    <row r="87" spans="1:13" ht="38.25">
      <c r="A87" s="34" t="s">
        <v>175</v>
      </c>
      <c r="B87" s="35" t="s">
        <v>176</v>
      </c>
      <c r="C87" s="31">
        <v>0</v>
      </c>
      <c r="D87" s="31">
        <v>0</v>
      </c>
      <c r="E87" s="31">
        <v>0.3417202474</v>
      </c>
      <c r="F87" s="31">
        <f t="shared" si="12"/>
        <v>0.3417202474</v>
      </c>
      <c r="G87" s="26">
        <f t="shared" si="12"/>
        <v>0.3417202474</v>
      </c>
      <c r="H87" s="26">
        <f t="shared" si="13"/>
        <v>-0.3417202474</v>
      </c>
      <c r="I87" s="31">
        <f t="shared" si="14"/>
        <v>0.3417202474</v>
      </c>
      <c r="J87" s="37"/>
      <c r="K87" s="31">
        <f t="shared" si="15"/>
        <v>0.3417202474</v>
      </c>
      <c r="L87" s="38"/>
      <c r="M87" s="27" t="s">
        <v>148</v>
      </c>
    </row>
    <row r="88" spans="1:13" ht="38.25">
      <c r="A88" s="34" t="s">
        <v>177</v>
      </c>
      <c r="B88" s="35" t="s">
        <v>178</v>
      </c>
      <c r="C88" s="31">
        <v>0</v>
      </c>
      <c r="D88" s="31">
        <v>0</v>
      </c>
      <c r="E88" s="31">
        <v>0.066781982</v>
      </c>
      <c r="F88" s="31">
        <f t="shared" si="12"/>
        <v>0.066781982</v>
      </c>
      <c r="G88" s="26">
        <f t="shared" si="12"/>
        <v>0.066781982</v>
      </c>
      <c r="H88" s="26">
        <f t="shared" si="13"/>
        <v>-0.066781982</v>
      </c>
      <c r="I88" s="31">
        <f t="shared" si="14"/>
        <v>0.066781982</v>
      </c>
      <c r="J88" s="37"/>
      <c r="K88" s="31">
        <f t="shared" si="15"/>
        <v>0.066781982</v>
      </c>
      <c r="L88" s="38"/>
      <c r="M88" s="27" t="s">
        <v>148</v>
      </c>
    </row>
    <row r="89" spans="1:13" ht="45">
      <c r="A89" s="34" t="s">
        <v>179</v>
      </c>
      <c r="B89" s="35" t="s">
        <v>180</v>
      </c>
      <c r="C89" s="31">
        <v>0</v>
      </c>
      <c r="D89" s="31">
        <v>0</v>
      </c>
      <c r="E89" s="31">
        <v>0.0265664728</v>
      </c>
      <c r="F89" s="31">
        <f t="shared" si="12"/>
        <v>0.0265664728</v>
      </c>
      <c r="G89" s="26">
        <f t="shared" si="12"/>
        <v>0.0265664728</v>
      </c>
      <c r="H89" s="26">
        <f t="shared" si="13"/>
        <v>-0.0265664728</v>
      </c>
      <c r="I89" s="31">
        <f t="shared" si="14"/>
        <v>0.0265664728</v>
      </c>
      <c r="J89" s="37"/>
      <c r="K89" s="31">
        <f t="shared" si="15"/>
        <v>0.0265664728</v>
      </c>
      <c r="L89" s="38"/>
      <c r="M89" s="27" t="s">
        <v>148</v>
      </c>
    </row>
    <row r="90" spans="1:13" ht="38.25">
      <c r="A90" s="34" t="s">
        <v>181</v>
      </c>
      <c r="B90" s="35" t="s">
        <v>182</v>
      </c>
      <c r="C90" s="31">
        <v>0</v>
      </c>
      <c r="D90" s="31">
        <v>0</v>
      </c>
      <c r="E90" s="31">
        <v>0.029110481999999997</v>
      </c>
      <c r="F90" s="31">
        <f t="shared" si="12"/>
        <v>0.029110481999999997</v>
      </c>
      <c r="G90" s="26">
        <f t="shared" si="12"/>
        <v>0.029110481999999997</v>
      </c>
      <c r="H90" s="26">
        <f t="shared" si="13"/>
        <v>-0.029110481999999997</v>
      </c>
      <c r="I90" s="31">
        <f t="shared" si="14"/>
        <v>0.029110481999999997</v>
      </c>
      <c r="J90" s="25"/>
      <c r="K90" s="31">
        <f t="shared" si="15"/>
        <v>0.029110481999999997</v>
      </c>
      <c r="L90" s="38"/>
      <c r="M90" s="27" t="s">
        <v>148</v>
      </c>
    </row>
    <row r="91" spans="1:13" ht="38.25">
      <c r="A91" s="34" t="s">
        <v>183</v>
      </c>
      <c r="B91" s="35" t="s">
        <v>184</v>
      </c>
      <c r="C91" s="31">
        <v>0</v>
      </c>
      <c r="D91" s="31">
        <v>0</v>
      </c>
      <c r="E91" s="31">
        <v>0.007725224</v>
      </c>
      <c r="F91" s="31">
        <f t="shared" si="12"/>
        <v>0.007725224</v>
      </c>
      <c r="G91" s="26">
        <f t="shared" si="12"/>
        <v>0.007725224</v>
      </c>
      <c r="H91" s="26">
        <f t="shared" si="13"/>
        <v>-0.007725224</v>
      </c>
      <c r="I91" s="31">
        <f t="shared" si="14"/>
        <v>0.007725224</v>
      </c>
      <c r="J91" s="25"/>
      <c r="K91" s="31">
        <f t="shared" si="15"/>
        <v>0.007725224</v>
      </c>
      <c r="L91" s="38"/>
      <c r="M91" s="27" t="s">
        <v>148</v>
      </c>
    </row>
    <row r="92" spans="1:13" ht="38.25">
      <c r="A92" s="34" t="s">
        <v>185</v>
      </c>
      <c r="B92" s="35" t="s">
        <v>186</v>
      </c>
      <c r="C92" s="31">
        <v>0</v>
      </c>
      <c r="D92" s="31">
        <v>0</v>
      </c>
      <c r="E92" s="31">
        <v>0.449999962</v>
      </c>
      <c r="F92" s="31">
        <f t="shared" si="12"/>
        <v>0.449999962</v>
      </c>
      <c r="G92" s="26">
        <f t="shared" si="12"/>
        <v>0.449999962</v>
      </c>
      <c r="H92" s="26">
        <f t="shared" si="13"/>
        <v>-0.449999962</v>
      </c>
      <c r="I92" s="31">
        <f t="shared" si="14"/>
        <v>0.449999962</v>
      </c>
      <c r="J92" s="25"/>
      <c r="K92" s="31">
        <f t="shared" si="15"/>
        <v>0.449999962</v>
      </c>
      <c r="L92" s="38"/>
      <c r="M92" s="27" t="s">
        <v>148</v>
      </c>
    </row>
    <row r="93" spans="1:13" ht="38.25">
      <c r="A93" s="34" t="s">
        <v>187</v>
      </c>
      <c r="B93" s="35" t="s">
        <v>188</v>
      </c>
      <c r="C93" s="31">
        <v>0</v>
      </c>
      <c r="D93" s="31">
        <v>0</v>
      </c>
      <c r="E93" s="31">
        <v>3.54</v>
      </c>
      <c r="F93" s="31">
        <f t="shared" si="12"/>
        <v>3.54</v>
      </c>
      <c r="G93" s="26">
        <f t="shared" si="12"/>
        <v>3.54</v>
      </c>
      <c r="H93" s="26">
        <f t="shared" si="13"/>
        <v>-3.54</v>
      </c>
      <c r="I93" s="31">
        <f t="shared" si="14"/>
        <v>3.54</v>
      </c>
      <c r="J93" s="25"/>
      <c r="K93" s="31">
        <f t="shared" si="15"/>
        <v>3.54</v>
      </c>
      <c r="L93" s="38"/>
      <c r="M93" s="27" t="s">
        <v>148</v>
      </c>
    </row>
    <row r="94" spans="1:13" s="40" customFormat="1" ht="14.25">
      <c r="A94" s="33" t="s">
        <v>189</v>
      </c>
      <c r="B94" s="18" t="s">
        <v>190</v>
      </c>
      <c r="C94" s="24">
        <v>0</v>
      </c>
      <c r="D94" s="24">
        <f aca="true" t="shared" si="16" ref="D94:I94">SUM(D95:D102)</f>
        <v>2.97745624</v>
      </c>
      <c r="E94" s="24">
        <f t="shared" si="16"/>
        <v>2.5610685662</v>
      </c>
      <c r="F94" s="24">
        <f t="shared" si="16"/>
        <v>2.5610685662</v>
      </c>
      <c r="G94" s="24">
        <f t="shared" si="16"/>
        <v>2.5610685662</v>
      </c>
      <c r="H94" s="24">
        <f t="shared" si="16"/>
        <v>0.41638767380000025</v>
      </c>
      <c r="I94" s="24">
        <f t="shared" si="16"/>
        <v>-0.41638767380000025</v>
      </c>
      <c r="J94" s="25">
        <f>(E94-D94)/D94*100</f>
        <v>-13.984678203028775</v>
      </c>
      <c r="K94" s="24">
        <f>SUM(K95:K102)</f>
        <v>-0.41638767380000025</v>
      </c>
      <c r="L94" s="22"/>
      <c r="M94" s="20"/>
    </row>
    <row r="95" spans="1:13" ht="60">
      <c r="A95" s="41" t="s">
        <v>191</v>
      </c>
      <c r="B95" s="35" t="s">
        <v>192</v>
      </c>
      <c r="C95" s="31">
        <v>0</v>
      </c>
      <c r="D95" s="31">
        <v>0.94421122</v>
      </c>
      <c r="E95" s="31">
        <v>0</v>
      </c>
      <c r="F95" s="31">
        <f aca="true" t="shared" si="17" ref="F95:G102">E95</f>
        <v>0</v>
      </c>
      <c r="G95" s="26">
        <f t="shared" si="17"/>
        <v>0</v>
      </c>
      <c r="H95" s="26">
        <f aca="true" t="shared" si="18" ref="H95:H106">D95-E95</f>
        <v>0.94421122</v>
      </c>
      <c r="I95" s="31">
        <f aca="true" t="shared" si="19" ref="I95:I106">E95-D95</f>
        <v>-0.94421122</v>
      </c>
      <c r="J95" s="37">
        <f>(E95-D95)/D95*100</f>
        <v>-100</v>
      </c>
      <c r="K95" s="31">
        <f aca="true" t="shared" si="20" ref="K95:K106">I95</f>
        <v>-0.94421122</v>
      </c>
      <c r="L95" s="22"/>
      <c r="M95" s="27"/>
    </row>
    <row r="96" spans="1:13" ht="30">
      <c r="A96" s="41" t="s">
        <v>193</v>
      </c>
      <c r="B96" s="35" t="s">
        <v>194</v>
      </c>
      <c r="C96" s="31">
        <v>0</v>
      </c>
      <c r="D96" s="31">
        <v>2.03324502</v>
      </c>
      <c r="E96" s="31">
        <v>0</v>
      </c>
      <c r="F96" s="31">
        <f t="shared" si="17"/>
        <v>0</v>
      </c>
      <c r="G96" s="26">
        <f t="shared" si="17"/>
        <v>0</v>
      </c>
      <c r="H96" s="26">
        <f t="shared" si="18"/>
        <v>2.03324502</v>
      </c>
      <c r="I96" s="31">
        <f t="shared" si="19"/>
        <v>-2.03324502</v>
      </c>
      <c r="J96" s="37">
        <f>(E96-D96)/D96*100</f>
        <v>-100</v>
      </c>
      <c r="K96" s="31">
        <f t="shared" si="20"/>
        <v>-2.03324502</v>
      </c>
      <c r="L96" s="22"/>
      <c r="M96" s="27"/>
    </row>
    <row r="97" spans="1:13" ht="48" customHeight="1">
      <c r="A97" s="41" t="s">
        <v>195</v>
      </c>
      <c r="B97" s="35" t="s">
        <v>196</v>
      </c>
      <c r="C97" s="31">
        <v>0</v>
      </c>
      <c r="D97" s="31">
        <v>0</v>
      </c>
      <c r="E97" s="31">
        <v>0.3135100228</v>
      </c>
      <c r="F97" s="31">
        <f t="shared" si="17"/>
        <v>0.3135100228</v>
      </c>
      <c r="G97" s="26">
        <f t="shared" si="17"/>
        <v>0.3135100228</v>
      </c>
      <c r="H97" s="26">
        <f t="shared" si="18"/>
        <v>-0.3135100228</v>
      </c>
      <c r="I97" s="31">
        <f t="shared" si="19"/>
        <v>0.3135100228</v>
      </c>
      <c r="J97" s="37"/>
      <c r="K97" s="31">
        <f t="shared" si="20"/>
        <v>0.3135100228</v>
      </c>
      <c r="L97" s="22"/>
      <c r="M97" s="27"/>
    </row>
    <row r="98" spans="1:13" ht="48" customHeight="1">
      <c r="A98" s="41" t="s">
        <v>197</v>
      </c>
      <c r="B98" s="35" t="s">
        <v>198</v>
      </c>
      <c r="C98" s="31">
        <v>0</v>
      </c>
      <c r="D98" s="31">
        <v>0</v>
      </c>
      <c r="E98" s="31">
        <v>0.873695482</v>
      </c>
      <c r="F98" s="31">
        <f t="shared" si="17"/>
        <v>0.873695482</v>
      </c>
      <c r="G98" s="26">
        <f t="shared" si="17"/>
        <v>0.873695482</v>
      </c>
      <c r="H98" s="26">
        <f t="shared" si="18"/>
        <v>-0.873695482</v>
      </c>
      <c r="I98" s="31">
        <f t="shared" si="19"/>
        <v>0.873695482</v>
      </c>
      <c r="J98" s="37"/>
      <c r="K98" s="31">
        <f t="shared" si="20"/>
        <v>0.873695482</v>
      </c>
      <c r="L98" s="42"/>
      <c r="M98" s="27"/>
    </row>
    <row r="99" spans="1:13" ht="45">
      <c r="A99" s="41" t="s">
        <v>199</v>
      </c>
      <c r="B99" s="35" t="s">
        <v>200</v>
      </c>
      <c r="C99" s="31">
        <v>0</v>
      </c>
      <c r="D99" s="31">
        <v>0</v>
      </c>
      <c r="E99" s="31">
        <v>0.019999997</v>
      </c>
      <c r="F99" s="31">
        <f t="shared" si="17"/>
        <v>0.019999997</v>
      </c>
      <c r="G99" s="26">
        <f t="shared" si="17"/>
        <v>0.019999997</v>
      </c>
      <c r="H99" s="26">
        <f t="shared" si="18"/>
        <v>-0.019999997</v>
      </c>
      <c r="I99" s="31">
        <f t="shared" si="19"/>
        <v>0.019999997</v>
      </c>
      <c r="J99" s="37"/>
      <c r="K99" s="31">
        <f t="shared" si="20"/>
        <v>0.019999997</v>
      </c>
      <c r="L99" s="42"/>
      <c r="M99" s="27"/>
    </row>
    <row r="100" spans="1:13" ht="45">
      <c r="A100" s="41" t="s">
        <v>201</v>
      </c>
      <c r="B100" s="35" t="s">
        <v>202</v>
      </c>
      <c r="C100" s="31">
        <v>0</v>
      </c>
      <c r="D100" s="31">
        <v>0</v>
      </c>
      <c r="E100" s="31">
        <v>0.010000004399999998</v>
      </c>
      <c r="F100" s="31">
        <f t="shared" si="17"/>
        <v>0.010000004399999998</v>
      </c>
      <c r="G100" s="26">
        <f t="shared" si="17"/>
        <v>0.010000004399999998</v>
      </c>
      <c r="H100" s="26">
        <f t="shared" si="18"/>
        <v>-0.010000004399999998</v>
      </c>
      <c r="I100" s="31">
        <f t="shared" si="19"/>
        <v>0.010000004399999998</v>
      </c>
      <c r="J100" s="37"/>
      <c r="K100" s="31">
        <f t="shared" si="20"/>
        <v>0.010000004399999998</v>
      </c>
      <c r="L100" s="42"/>
      <c r="M100" s="27"/>
    </row>
    <row r="101" spans="1:13" ht="45">
      <c r="A101" s="41" t="s">
        <v>203</v>
      </c>
      <c r="B101" s="35" t="s">
        <v>204</v>
      </c>
      <c r="C101" s="31">
        <v>0</v>
      </c>
      <c r="D101" s="43">
        <v>0</v>
      </c>
      <c r="E101" s="31">
        <v>1.3415030599999997</v>
      </c>
      <c r="F101" s="31">
        <f t="shared" si="17"/>
        <v>1.3415030599999997</v>
      </c>
      <c r="G101" s="26">
        <f t="shared" si="17"/>
        <v>1.3415030599999997</v>
      </c>
      <c r="H101" s="26">
        <f t="shared" si="18"/>
        <v>-1.3415030599999997</v>
      </c>
      <c r="I101" s="31">
        <f t="shared" si="19"/>
        <v>1.3415030599999997</v>
      </c>
      <c r="J101" s="37"/>
      <c r="K101" s="31">
        <f t="shared" si="20"/>
        <v>1.3415030599999997</v>
      </c>
      <c r="L101" s="42"/>
      <c r="M101" s="44"/>
    </row>
    <row r="102" spans="1:13" ht="30">
      <c r="A102" s="41" t="s">
        <v>205</v>
      </c>
      <c r="B102" s="35" t="s">
        <v>206</v>
      </c>
      <c r="C102" s="31">
        <v>0</v>
      </c>
      <c r="D102" s="43">
        <v>0</v>
      </c>
      <c r="E102" s="31">
        <v>0.0023599999999999997</v>
      </c>
      <c r="F102" s="31">
        <f t="shared" si="17"/>
        <v>0.0023599999999999997</v>
      </c>
      <c r="G102" s="26">
        <f t="shared" si="17"/>
        <v>0.0023599999999999997</v>
      </c>
      <c r="H102" s="26">
        <f t="shared" si="18"/>
        <v>-0.0023599999999999997</v>
      </c>
      <c r="I102" s="31">
        <f t="shared" si="19"/>
        <v>0.0023599999999999997</v>
      </c>
      <c r="J102" s="37"/>
      <c r="K102" s="31">
        <f t="shared" si="20"/>
        <v>0.0023599999999999997</v>
      </c>
      <c r="L102" s="42"/>
      <c r="M102" s="44"/>
    </row>
    <row r="103" spans="1:13" s="40" customFormat="1" ht="29.25" customHeight="1">
      <c r="A103" s="45" t="s">
        <v>207</v>
      </c>
      <c r="B103" s="35" t="s">
        <v>208</v>
      </c>
      <c r="C103" s="46">
        <v>0</v>
      </c>
      <c r="D103" s="24">
        <f>D104+D105+D106</f>
        <v>0.2847314323136</v>
      </c>
      <c r="E103" s="24">
        <f>E104+E105+E106</f>
        <v>3.9773629407999995</v>
      </c>
      <c r="F103" s="48">
        <f>SUM(F104:F106)</f>
        <v>3.9773629407999995</v>
      </c>
      <c r="G103" s="48">
        <f>SUM(G104:G106)</f>
        <v>3.9773629407999995</v>
      </c>
      <c r="H103" s="24">
        <f t="shared" si="18"/>
        <v>-3.6926315084863996</v>
      </c>
      <c r="I103" s="49">
        <f t="shared" si="19"/>
        <v>3.6926315084863996</v>
      </c>
      <c r="J103" s="50">
        <f>(E103-D103)/D103*100</f>
        <v>1296.8822860482003</v>
      </c>
      <c r="K103" s="49">
        <f t="shared" si="20"/>
        <v>3.6926315084863996</v>
      </c>
      <c r="L103" s="22"/>
      <c r="M103" s="51"/>
    </row>
    <row r="104" spans="1:13" ht="15">
      <c r="A104" s="44" t="s">
        <v>209</v>
      </c>
      <c r="B104" s="52" t="s">
        <v>210</v>
      </c>
      <c r="C104" s="46">
        <v>0</v>
      </c>
      <c r="D104" s="174">
        <v>0.2847314323136</v>
      </c>
      <c r="E104" s="31">
        <v>0.0160029948</v>
      </c>
      <c r="F104" s="31">
        <f aca="true" t="shared" si="21" ref="F104:G106">E104</f>
        <v>0.0160029948</v>
      </c>
      <c r="G104" s="26">
        <f t="shared" si="21"/>
        <v>0.0160029948</v>
      </c>
      <c r="H104" s="55">
        <f t="shared" si="18"/>
        <v>0.2687284375136</v>
      </c>
      <c r="I104" s="174">
        <f t="shared" si="19"/>
        <v>-0.2687284375136</v>
      </c>
      <c r="J104" s="175">
        <f>(E104-D104)/D104*100</f>
        <v>-94.3796177787725</v>
      </c>
      <c r="K104" s="176">
        <f t="shared" si="20"/>
        <v>-0.2687284375136</v>
      </c>
      <c r="L104" s="49"/>
      <c r="M104" s="44"/>
    </row>
    <row r="105" spans="1:13" ht="15">
      <c r="A105" s="27" t="s">
        <v>211</v>
      </c>
      <c r="B105" s="35" t="s">
        <v>212</v>
      </c>
      <c r="C105" s="31">
        <v>0</v>
      </c>
      <c r="D105" s="43"/>
      <c r="E105" s="43">
        <v>3.8999999459999994</v>
      </c>
      <c r="F105" s="31">
        <f t="shared" si="21"/>
        <v>3.8999999459999994</v>
      </c>
      <c r="G105" s="26">
        <f t="shared" si="21"/>
        <v>3.8999999459999994</v>
      </c>
      <c r="H105" s="26">
        <f t="shared" si="18"/>
        <v>-3.8999999459999994</v>
      </c>
      <c r="I105" s="53">
        <f t="shared" si="19"/>
        <v>3.8999999459999994</v>
      </c>
      <c r="J105" s="175"/>
      <c r="K105" s="177">
        <f t="shared" si="20"/>
        <v>3.8999999459999994</v>
      </c>
      <c r="L105" s="42"/>
      <c r="M105" s="44"/>
    </row>
    <row r="106" spans="1:13" ht="15">
      <c r="A106" s="27" t="s">
        <v>213</v>
      </c>
      <c r="B106" s="35" t="s">
        <v>214</v>
      </c>
      <c r="C106" s="31">
        <v>0</v>
      </c>
      <c r="D106" s="56"/>
      <c r="E106" s="31">
        <v>0.06136</v>
      </c>
      <c r="F106" s="31">
        <f t="shared" si="21"/>
        <v>0.06136</v>
      </c>
      <c r="G106" s="26">
        <f t="shared" si="21"/>
        <v>0.06136</v>
      </c>
      <c r="H106" s="26">
        <f t="shared" si="18"/>
        <v>-0.06136</v>
      </c>
      <c r="I106" s="53">
        <f t="shared" si="19"/>
        <v>0.06136</v>
      </c>
      <c r="J106" s="175"/>
      <c r="K106" s="177">
        <f t="shared" si="20"/>
        <v>0.06136</v>
      </c>
      <c r="L106" s="27"/>
      <c r="M106" s="27"/>
    </row>
    <row r="107" spans="1:13" ht="15">
      <c r="A107" s="4"/>
      <c r="B107" s="57"/>
      <c r="C107" s="58"/>
      <c r="D107" s="58"/>
      <c r="E107" s="59"/>
      <c r="F107" s="60"/>
      <c r="G107" s="60"/>
      <c r="H107" s="61"/>
      <c r="I107" s="4"/>
      <c r="J107" s="4"/>
      <c r="K107" s="4"/>
      <c r="L107" s="4"/>
      <c r="M107" s="4"/>
    </row>
    <row r="109" spans="2:11" ht="22.5" customHeight="1">
      <c r="B109" s="211" t="s">
        <v>215</v>
      </c>
      <c r="C109" s="211"/>
      <c r="D109" s="62"/>
      <c r="E109" s="62"/>
      <c r="G109" s="172"/>
      <c r="J109" s="211" t="s">
        <v>216</v>
      </c>
      <c r="K109" s="211"/>
    </row>
    <row r="111" ht="15">
      <c r="D111" s="63"/>
    </row>
    <row r="113" spans="2:12" ht="15">
      <c r="B113" s="2" t="s">
        <v>442</v>
      </c>
      <c r="D113" s="64">
        <f aca="true" t="shared" si="22" ref="D113:L113">D16/1.18*1000</f>
        <v>16888.106</v>
      </c>
      <c r="E113" s="178">
        <f t="shared" si="22"/>
        <v>17493.990869999998</v>
      </c>
      <c r="F113" s="64">
        <f t="shared" si="22"/>
        <v>17493.990869999998</v>
      </c>
      <c r="G113" s="64">
        <f t="shared" si="22"/>
        <v>17493.990869999998</v>
      </c>
      <c r="H113" s="64">
        <f t="shared" si="22"/>
        <v>-605.8848699999971</v>
      </c>
      <c r="I113" s="64">
        <f t="shared" si="22"/>
        <v>605.8848699999963</v>
      </c>
      <c r="J113" s="64">
        <f t="shared" si="22"/>
        <v>3040.375008525444</v>
      </c>
      <c r="K113" s="64">
        <f t="shared" si="22"/>
        <v>605.8848699999963</v>
      </c>
      <c r="L113" s="64">
        <f t="shared" si="22"/>
        <v>0</v>
      </c>
    </row>
    <row r="114" spans="5:8" ht="15">
      <c r="E114" s="58"/>
      <c r="F114" s="60"/>
      <c r="G114" s="60"/>
      <c r="H114" s="60"/>
    </row>
    <row r="115" spans="5:8" ht="15">
      <c r="E115" s="58"/>
      <c r="F115" s="60"/>
      <c r="G115" s="60"/>
      <c r="H115" s="60"/>
    </row>
    <row r="116" spans="5:8" ht="15">
      <c r="E116" s="58"/>
      <c r="F116" s="60"/>
      <c r="G116" s="60"/>
      <c r="H116" s="60"/>
    </row>
  </sheetData>
  <sheetProtection selectLockedCells="1" selectUnlockedCells="1"/>
  <mergeCells count="23">
    <mergeCell ref="B109:C109"/>
    <mergeCell ref="J109:K109"/>
    <mergeCell ref="M13:M15"/>
    <mergeCell ref="D14:E14"/>
    <mergeCell ref="I14:I15"/>
    <mergeCell ref="J14:J15"/>
    <mergeCell ref="K14:L14"/>
    <mergeCell ref="F13:F14"/>
    <mergeCell ref="G13:G14"/>
    <mergeCell ref="H13:H15"/>
    <mergeCell ref="AH9:AJ9"/>
    <mergeCell ref="A11:M11"/>
    <mergeCell ref="I13:L13"/>
    <mergeCell ref="A13:A15"/>
    <mergeCell ref="B13:B15"/>
    <mergeCell ref="C13:C15"/>
    <mergeCell ref="D13:E13"/>
    <mergeCell ref="K1:L1"/>
    <mergeCell ref="J5:M5"/>
    <mergeCell ref="O9:Q9"/>
    <mergeCell ref="R9:S9"/>
    <mergeCell ref="T9:AD9"/>
    <mergeCell ref="AE9:AG9"/>
  </mergeCells>
  <dataValidations count="1">
    <dataValidation type="textLength" operator="lessThanOrEqual" allowBlank="1" showErrorMessage="1" errorTitle="Ошибка" error="Допускается ввод не более 900 символов!" sqref="B87:B93 B105 B101:B102">
      <formula1>900</formula1>
    </dataValidation>
  </dataValidations>
  <printOptions horizontalCentered="1"/>
  <pageMargins left="0.19652777777777777" right="0.19652777777777777" top="0.27569444444444446" bottom="0.27569444444444446" header="0.5118055555555555" footer="0.5118055555555555"/>
  <pageSetup horizontalDpi="300" verticalDpi="300" orientation="landscape" paperSize="21" scale="39" r:id="rId1"/>
  <rowBreaks count="2" manualBreakCount="2">
    <brk id="6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Блескина Оксана Юрьевна</dc:creator>
  <cp:keywords/>
  <dc:description/>
  <cp:lastModifiedBy>Блескина Оксана Юрьевна</cp:lastModifiedBy>
  <cp:lastPrinted>2017-03-30T12:22:15Z</cp:lastPrinted>
  <dcterms:created xsi:type="dcterms:W3CDTF">2017-02-14T08:26:32Z</dcterms:created>
  <dcterms:modified xsi:type="dcterms:W3CDTF">2017-03-31T11:16:36Z</dcterms:modified>
  <cp:category/>
  <cp:version/>
  <cp:contentType/>
  <cp:contentStatus/>
</cp:coreProperties>
</file>